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pw working directory\projects 2020\34alo\dms55866\"/>
    </mc:Choice>
  </mc:AlternateContent>
  <bookViews>
    <workbookView xWindow="0" yWindow="0" windowWidth="23040" windowHeight="6504" firstSheet="2" activeTab="2"/>
  </bookViews>
  <sheets>
    <sheet name="Ver1" sheetId="15" state="hidden" r:id="rId1"/>
    <sheet name="Sheet1 (2)" sheetId="18" state="hidden" r:id="rId2"/>
    <sheet name="Analysis Tool" sheetId="23" r:id="rId3"/>
    <sheet name="Unsignalized Inter" sheetId="22" state="hidden" r:id="rId4"/>
    <sheet name="Segment" sheetId="21" state="hidden" r:id="rId5"/>
    <sheet name="Inter 2" sheetId="19" state="hidden" r:id="rId6"/>
    <sheet name="Grades" sheetId="1" r:id="rId7"/>
    <sheet name="Targets" sheetId="6" r:id="rId8"/>
    <sheet name="AT Check" sheetId="17" r:id="rId9"/>
    <sheet name="Cyclists Intersection Env" sheetId="11" state="hidden" r:id="rId10"/>
    <sheet name="Cyclists Segment Space" sheetId="12" state="hidden" r:id="rId11"/>
    <sheet name="Cyclists Segment Environment" sheetId="14" state="hidden" r:id="rId12"/>
    <sheet name="Controls" sheetId="3" state="hidden" r:id="rId13"/>
  </sheets>
  <definedNames>
    <definedName name="Grade_Values">Controls!$B$5:$C$10</definedName>
    <definedName name="_xlnm.Print_Area" localSheetId="6">Grades!$E$4:$O$44</definedName>
    <definedName name="Targets" localSheetId="2">Targets!#REF!</definedName>
    <definedName name="Targets" localSheetId="5">Targets!#REF!</definedName>
    <definedName name="Targets" localSheetId="4">Targets!#REF!</definedName>
    <definedName name="Targets" localSheetId="1">Targets!#REF!</definedName>
    <definedName name="Targets" localSheetId="3">Targets!#REF!</definedName>
    <definedName name="Targets">Targets!#REF!</definedName>
    <definedName name="Weights_Intersection">Grades!$A$4:$H$44</definedName>
    <definedName name="Weights_Segment">Grades!$A$26:$O$44</definedName>
  </definedNames>
  <calcPr calcId="152511"/>
</workbook>
</file>

<file path=xl/calcChain.xml><?xml version="1.0" encoding="utf-8"?>
<calcChain xmlns="http://schemas.openxmlformats.org/spreadsheetml/2006/main">
  <c r="A19" i="23" l="1"/>
  <c r="C8" i="23"/>
  <c r="F27" i="23" l="1"/>
  <c r="E27" i="23"/>
  <c r="D27" i="23"/>
  <c r="C27" i="23"/>
  <c r="B27" i="23"/>
  <c r="F25" i="23"/>
  <c r="E25" i="23"/>
  <c r="D25" i="23"/>
  <c r="C25" i="23"/>
  <c r="B25" i="23"/>
  <c r="F23" i="23"/>
  <c r="E23" i="23"/>
  <c r="D23" i="23"/>
  <c r="C23" i="23"/>
  <c r="B23" i="23"/>
  <c r="F21" i="23"/>
  <c r="E21" i="23"/>
  <c r="D21" i="23"/>
  <c r="C21" i="23"/>
  <c r="B21" i="23"/>
  <c r="A18" i="23"/>
  <c r="A17" i="23"/>
  <c r="A16" i="23"/>
  <c r="A15" i="23"/>
  <c r="F8" i="23"/>
  <c r="E8" i="23"/>
  <c r="D8" i="23"/>
  <c r="B8" i="23"/>
  <c r="F13" i="23" l="1"/>
  <c r="F2" i="23" s="1"/>
  <c r="B13" i="23"/>
  <c r="B2" i="23" s="1"/>
  <c r="E13" i="23"/>
  <c r="E2" i="23" s="1"/>
  <c r="C13" i="23"/>
  <c r="C2" i="23" s="1"/>
  <c r="D13" i="23"/>
  <c r="D2" i="23" s="1"/>
  <c r="F8" i="15"/>
  <c r="E8" i="15"/>
  <c r="D8" i="15"/>
  <c r="C8" i="15"/>
  <c r="B8" i="15"/>
  <c r="A19" i="15" s="1"/>
  <c r="A18" i="21" l="1"/>
  <c r="B8" i="22" l="1"/>
  <c r="A18" i="22"/>
  <c r="F26" i="22"/>
  <c r="E26" i="22"/>
  <c r="D26" i="22"/>
  <c r="C26" i="22"/>
  <c r="B26" i="22"/>
  <c r="F24" i="22"/>
  <c r="E24" i="22"/>
  <c r="D24" i="22"/>
  <c r="C24" i="22"/>
  <c r="B24" i="22"/>
  <c r="F22" i="22"/>
  <c r="E22" i="22"/>
  <c r="D22" i="22"/>
  <c r="C22" i="22"/>
  <c r="B22" i="22"/>
  <c r="F20" i="22"/>
  <c r="E20" i="22"/>
  <c r="D20" i="22"/>
  <c r="C20" i="22"/>
  <c r="B20" i="22"/>
  <c r="A17" i="22"/>
  <c r="A16" i="22"/>
  <c r="A15" i="22"/>
  <c r="F26" i="21"/>
  <c r="E26" i="21"/>
  <c r="D26" i="21"/>
  <c r="C26" i="21"/>
  <c r="B26" i="21"/>
  <c r="F24" i="21"/>
  <c r="E24" i="21"/>
  <c r="D24" i="21"/>
  <c r="C24" i="21"/>
  <c r="B24" i="21"/>
  <c r="F22" i="21"/>
  <c r="E22" i="21"/>
  <c r="D22" i="21"/>
  <c r="C22" i="21"/>
  <c r="B22" i="21"/>
  <c r="F20" i="21"/>
  <c r="F13" i="21" s="1"/>
  <c r="F2" i="21" s="1"/>
  <c r="E20" i="21"/>
  <c r="E13" i="21" s="1"/>
  <c r="E2" i="21" s="1"/>
  <c r="D20" i="21"/>
  <c r="C20" i="21"/>
  <c r="B20" i="21"/>
  <c r="A17" i="21"/>
  <c r="A16" i="21"/>
  <c r="A15" i="21"/>
  <c r="B8" i="21"/>
  <c r="E13" i="22" l="1"/>
  <c r="E2" i="22" s="1"/>
  <c r="F13" i="22"/>
  <c r="F2" i="22" s="1"/>
  <c r="B13" i="21"/>
  <c r="B2" i="21" s="1"/>
  <c r="D13" i="21"/>
  <c r="D2" i="21" s="1"/>
  <c r="C13" i="22"/>
  <c r="C2" i="22" s="1"/>
  <c r="B13" i="22"/>
  <c r="B2" i="22" s="1"/>
  <c r="D13" i="22"/>
  <c r="D2" i="22" s="1"/>
  <c r="C13" i="21"/>
  <c r="C2" i="21" s="1"/>
  <c r="F26" i="19"/>
  <c r="E26" i="19"/>
  <c r="D26" i="19"/>
  <c r="C26" i="19"/>
  <c r="B26" i="19"/>
  <c r="F24" i="19"/>
  <c r="E24" i="19"/>
  <c r="D24" i="19"/>
  <c r="C24" i="19"/>
  <c r="B24" i="19"/>
  <c r="F22" i="19"/>
  <c r="E22" i="19"/>
  <c r="D22" i="19"/>
  <c r="C22" i="19"/>
  <c r="B22" i="19"/>
  <c r="F20" i="19"/>
  <c r="E20" i="19"/>
  <c r="D20" i="19"/>
  <c r="C20" i="19"/>
  <c r="B20" i="19"/>
  <c r="A18" i="19"/>
  <c r="A17" i="19"/>
  <c r="A16" i="19"/>
  <c r="A15" i="19"/>
  <c r="B8" i="19"/>
  <c r="F13" i="19" l="1"/>
  <c r="F2" i="19" s="1"/>
  <c r="E13" i="19"/>
  <c r="E2" i="19" s="1"/>
  <c r="D13" i="19"/>
  <c r="D2" i="19" s="1"/>
  <c r="C13" i="19"/>
  <c r="C2" i="19" s="1"/>
  <c r="B13" i="19"/>
  <c r="B2" i="19" s="1"/>
  <c r="A15" i="15"/>
  <c r="A18" i="15" l="1"/>
  <c r="A17" i="15"/>
  <c r="A16" i="15"/>
  <c r="G30" i="11" l="1"/>
  <c r="F25" i="18"/>
  <c r="E25" i="18"/>
  <c r="D25" i="18"/>
  <c r="C25" i="18"/>
  <c r="B25" i="18"/>
  <c r="F23" i="18"/>
  <c r="E23" i="18"/>
  <c r="D23" i="18"/>
  <c r="C23" i="18"/>
  <c r="B23" i="18"/>
  <c r="F21" i="18"/>
  <c r="E21" i="18"/>
  <c r="D21" i="18"/>
  <c r="C21" i="18"/>
  <c r="B21" i="18"/>
  <c r="F19" i="18"/>
  <c r="E19" i="18"/>
  <c r="D19" i="18"/>
  <c r="C19" i="18"/>
  <c r="B19" i="18"/>
  <c r="F18" i="18"/>
  <c r="E18" i="18"/>
  <c r="D18" i="18"/>
  <c r="C18" i="18"/>
  <c r="B18" i="18"/>
  <c r="F17" i="18"/>
  <c r="E17" i="18"/>
  <c r="D17" i="18"/>
  <c r="C17" i="18"/>
  <c r="B17" i="18"/>
  <c r="F11" i="18"/>
  <c r="E11" i="18"/>
  <c r="D11" i="18"/>
  <c r="C11" i="18"/>
  <c r="B11" i="18"/>
  <c r="F8" i="18"/>
  <c r="E8" i="18"/>
  <c r="D8" i="18"/>
  <c r="C8" i="18"/>
  <c r="B8" i="18"/>
  <c r="C27" i="15" l="1"/>
  <c r="C25" i="15"/>
  <c r="C23" i="15"/>
  <c r="B21" i="15" l="1"/>
  <c r="F27" i="15"/>
  <c r="F25" i="15"/>
  <c r="F23" i="15"/>
  <c r="F21" i="15"/>
  <c r="E27" i="15"/>
  <c r="E25" i="15"/>
  <c r="E23" i="15"/>
  <c r="E21" i="15"/>
  <c r="D27" i="15"/>
  <c r="D25" i="15"/>
  <c r="D23" i="15"/>
  <c r="D21" i="15"/>
  <c r="C21" i="15"/>
  <c r="C13" i="15" s="1"/>
  <c r="C2" i="15" s="1"/>
  <c r="B27" i="15"/>
  <c r="B25" i="15"/>
  <c r="B23" i="15"/>
  <c r="F13" i="15" l="1"/>
  <c r="F2" i="15" s="1"/>
  <c r="E13" i="15"/>
  <c r="E2" i="15" s="1"/>
  <c r="B13" i="15"/>
  <c r="B2" i="15" s="1"/>
  <c r="D13" i="15"/>
  <c r="D2" i="15" s="1"/>
  <c r="E21" i="11" l="1"/>
  <c r="G143" i="12" l="1"/>
  <c r="E143" i="12"/>
  <c r="H141" i="12"/>
  <c r="F141" i="12"/>
  <c r="H140" i="12"/>
  <c r="F140" i="12"/>
  <c r="H139" i="12"/>
  <c r="F139" i="12"/>
  <c r="H138" i="12"/>
  <c r="F138" i="12"/>
  <c r="H137" i="12"/>
  <c r="F137" i="12"/>
  <c r="H136" i="12"/>
  <c r="F136" i="12"/>
  <c r="H135" i="12"/>
  <c r="F135" i="12"/>
  <c r="H134" i="12"/>
  <c r="F134" i="12"/>
  <c r="G130" i="12"/>
  <c r="E130" i="12"/>
  <c r="H128" i="12"/>
  <c r="F128" i="12"/>
  <c r="H127" i="12"/>
  <c r="F127" i="12"/>
  <c r="H126" i="12"/>
  <c r="F126" i="12"/>
  <c r="H125" i="12"/>
  <c r="F125" i="12"/>
  <c r="H124" i="12"/>
  <c r="F124" i="12"/>
  <c r="H123" i="12"/>
  <c r="F123" i="12"/>
  <c r="H122" i="12"/>
  <c r="F122" i="12"/>
  <c r="H121" i="12"/>
  <c r="F121" i="12"/>
  <c r="G117" i="12"/>
  <c r="E117" i="12"/>
  <c r="H115" i="12"/>
  <c r="F115" i="12"/>
  <c r="H114" i="12"/>
  <c r="F114" i="12"/>
  <c r="H113" i="12"/>
  <c r="F113" i="12"/>
  <c r="H112" i="12"/>
  <c r="F112" i="12"/>
  <c r="H111" i="12"/>
  <c r="F111" i="12"/>
  <c r="H110" i="12"/>
  <c r="F110" i="12"/>
  <c r="H109" i="12"/>
  <c r="F109" i="12"/>
  <c r="H108" i="12"/>
  <c r="F108" i="12"/>
  <c r="G104" i="12"/>
  <c r="E104" i="12"/>
  <c r="H102" i="12"/>
  <c r="F102" i="12"/>
  <c r="H101" i="12"/>
  <c r="F101" i="12"/>
  <c r="H100" i="12"/>
  <c r="F100" i="12"/>
  <c r="H99" i="12"/>
  <c r="F99" i="12"/>
  <c r="H98" i="12"/>
  <c r="F98" i="12"/>
  <c r="H97" i="12"/>
  <c r="F97" i="12"/>
  <c r="H96" i="12"/>
  <c r="F96" i="12"/>
  <c r="H95" i="12"/>
  <c r="F95" i="12"/>
  <c r="G91" i="12"/>
  <c r="E91" i="12"/>
  <c r="H89" i="12"/>
  <c r="F89" i="12"/>
  <c r="H88" i="12"/>
  <c r="F88" i="12"/>
  <c r="H87" i="12"/>
  <c r="F87" i="12"/>
  <c r="H86" i="12"/>
  <c r="F86" i="12"/>
  <c r="H85" i="12"/>
  <c r="F85" i="12"/>
  <c r="H84" i="12"/>
  <c r="F84" i="12"/>
  <c r="H83" i="12"/>
  <c r="F83" i="12"/>
  <c r="H82" i="12"/>
  <c r="F82" i="12"/>
  <c r="G78" i="12"/>
  <c r="E78" i="12"/>
  <c r="H76" i="12"/>
  <c r="F76" i="12"/>
  <c r="H75" i="12"/>
  <c r="F75" i="12"/>
  <c r="H74" i="12"/>
  <c r="F74" i="12"/>
  <c r="H73" i="12"/>
  <c r="F73" i="12"/>
  <c r="H72" i="12"/>
  <c r="F72" i="12"/>
  <c r="H71" i="12"/>
  <c r="F71" i="12"/>
  <c r="H70" i="12"/>
  <c r="F70" i="12"/>
  <c r="H69" i="12"/>
  <c r="F69" i="12"/>
  <c r="G65" i="12"/>
  <c r="E65" i="12"/>
  <c r="H63" i="12"/>
  <c r="F63" i="12"/>
  <c r="H62" i="12"/>
  <c r="F62" i="12"/>
  <c r="H61" i="12"/>
  <c r="F61" i="12"/>
  <c r="H60" i="12"/>
  <c r="F60" i="12"/>
  <c r="H59" i="12"/>
  <c r="F59" i="12"/>
  <c r="H58" i="12"/>
  <c r="F58" i="12"/>
  <c r="H57" i="12"/>
  <c r="F57" i="12"/>
  <c r="H56" i="12"/>
  <c r="F56" i="12"/>
  <c r="E52" i="12"/>
  <c r="H50" i="12"/>
  <c r="G52" i="12" s="1"/>
  <c r="F50" i="12"/>
  <c r="H49" i="12"/>
  <c r="F49" i="12"/>
  <c r="H48" i="12"/>
  <c r="F48" i="12"/>
  <c r="H47" i="12"/>
  <c r="F47" i="12"/>
  <c r="H46" i="12"/>
  <c r="F46" i="12"/>
  <c r="H45" i="12"/>
  <c r="F45" i="12"/>
  <c r="H44" i="12"/>
  <c r="F44" i="12"/>
  <c r="H43" i="12"/>
  <c r="F43" i="12"/>
  <c r="G39" i="12"/>
  <c r="E39" i="12"/>
  <c r="G26" i="12"/>
  <c r="E26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18" i="14" l="1"/>
  <c r="H39" i="14" l="1"/>
  <c r="H38" i="14"/>
  <c r="I38" i="14" s="1"/>
  <c r="H37" i="14"/>
  <c r="H36" i="14"/>
  <c r="H35" i="14"/>
  <c r="H34" i="14"/>
  <c r="I34" i="14" s="1"/>
  <c r="H33" i="14"/>
  <c r="H32" i="14"/>
  <c r="I32" i="14" s="1"/>
  <c r="H31" i="14"/>
  <c r="H30" i="14"/>
  <c r="I30" i="14" s="1"/>
  <c r="H29" i="14"/>
  <c r="H28" i="14"/>
  <c r="H27" i="14"/>
  <c r="H26" i="14"/>
  <c r="I26" i="14" s="1"/>
  <c r="H25" i="14"/>
  <c r="H24" i="14"/>
  <c r="H23" i="14"/>
  <c r="H22" i="14"/>
  <c r="H21" i="14"/>
  <c r="H20" i="14"/>
  <c r="H19" i="14"/>
  <c r="H17" i="14"/>
  <c r="J17" i="14" s="1"/>
  <c r="H16" i="14"/>
  <c r="J16" i="14" s="1"/>
  <c r="I16" i="14" s="1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B8" i="14"/>
  <c r="B9" i="14" s="1"/>
  <c r="B10" i="14" s="1"/>
  <c r="B11" i="14" s="1"/>
  <c r="B12" i="14" s="1"/>
  <c r="B13" i="14" s="1"/>
  <c r="B7" i="14"/>
  <c r="I27" i="14"/>
  <c r="I28" i="14"/>
  <c r="I29" i="14"/>
  <c r="I31" i="14"/>
  <c r="I33" i="14"/>
  <c r="I35" i="14"/>
  <c r="I36" i="14"/>
  <c r="I37" i="14"/>
  <c r="I39" i="14"/>
  <c r="I25" i="14"/>
  <c r="I24" i="14"/>
  <c r="I23" i="14"/>
  <c r="I22" i="14"/>
  <c r="G44" i="11"/>
  <c r="E44" i="11"/>
  <c r="G43" i="11"/>
  <c r="E43" i="11"/>
  <c r="G42" i="11"/>
  <c r="E42" i="11"/>
  <c r="G41" i="11"/>
  <c r="E41" i="11"/>
  <c r="G40" i="11"/>
  <c r="E40" i="11"/>
  <c r="G39" i="11"/>
  <c r="E39" i="11"/>
  <c r="E45" i="11" s="1"/>
  <c r="G46" i="11" s="1"/>
  <c r="G55" i="11"/>
  <c r="E55" i="11"/>
  <c r="G54" i="11"/>
  <c r="E54" i="11"/>
  <c r="G53" i="11"/>
  <c r="E53" i="11"/>
  <c r="G52" i="11"/>
  <c r="E52" i="11"/>
  <c r="E56" i="11" s="1"/>
  <c r="G57" i="11" s="1"/>
  <c r="G51" i="11"/>
  <c r="E51" i="11"/>
  <c r="G50" i="11"/>
  <c r="E50" i="11"/>
  <c r="G66" i="11"/>
  <c r="E66" i="11"/>
  <c r="G65" i="11"/>
  <c r="E65" i="11"/>
  <c r="G64" i="11"/>
  <c r="E64" i="11"/>
  <c r="G63" i="11"/>
  <c r="E63" i="11"/>
  <c r="G62" i="11"/>
  <c r="E62" i="11"/>
  <c r="G61" i="11"/>
  <c r="E61" i="11"/>
  <c r="G77" i="11"/>
  <c r="E77" i="11"/>
  <c r="G76" i="11"/>
  <c r="E76" i="11"/>
  <c r="G75" i="11"/>
  <c r="E75" i="11"/>
  <c r="G74" i="11"/>
  <c r="E74" i="11"/>
  <c r="G73" i="11"/>
  <c r="G78" i="11" s="1"/>
  <c r="E73" i="11"/>
  <c r="G72" i="11"/>
  <c r="E72" i="11"/>
  <c r="E78" i="11" s="1"/>
  <c r="G79" i="11" s="1"/>
  <c r="G88" i="11"/>
  <c r="E88" i="11"/>
  <c r="G87" i="11"/>
  <c r="E87" i="11"/>
  <c r="G86" i="11"/>
  <c r="E86" i="11"/>
  <c r="G85" i="11"/>
  <c r="E85" i="11"/>
  <c r="E89" i="11" s="1"/>
  <c r="G90" i="11" s="1"/>
  <c r="G84" i="11"/>
  <c r="E84" i="11"/>
  <c r="G83" i="11"/>
  <c r="E83" i="11"/>
  <c r="G121" i="11"/>
  <c r="E121" i="11"/>
  <c r="G120" i="11"/>
  <c r="E120" i="11"/>
  <c r="G119" i="11"/>
  <c r="E119" i="11"/>
  <c r="G118" i="11"/>
  <c r="E118" i="11"/>
  <c r="G117" i="11"/>
  <c r="E117" i="11"/>
  <c r="G116" i="11"/>
  <c r="E116" i="11"/>
  <c r="E122" i="11" s="1"/>
  <c r="G123" i="11" s="1"/>
  <c r="G110" i="11"/>
  <c r="E110" i="11"/>
  <c r="G109" i="11"/>
  <c r="E109" i="11"/>
  <c r="G108" i="11"/>
  <c r="E108" i="11"/>
  <c r="G107" i="11"/>
  <c r="E107" i="11"/>
  <c r="G106" i="11"/>
  <c r="E106" i="11"/>
  <c r="G105" i="11"/>
  <c r="E105" i="11"/>
  <c r="E111" i="11" s="1"/>
  <c r="G99" i="11"/>
  <c r="E99" i="11"/>
  <c r="G98" i="11"/>
  <c r="E98" i="11"/>
  <c r="G97" i="11"/>
  <c r="E97" i="11"/>
  <c r="G96" i="11"/>
  <c r="G100" i="11" s="1"/>
  <c r="E96" i="11"/>
  <c r="G95" i="11"/>
  <c r="E95" i="11"/>
  <c r="G94" i="11"/>
  <c r="E94" i="11"/>
  <c r="G89" i="11"/>
  <c r="E67" i="11"/>
  <c r="G68" i="11" s="1"/>
  <c r="G67" i="11"/>
  <c r="G56" i="11"/>
  <c r="G45" i="11"/>
  <c r="H24" i="12"/>
  <c r="H23" i="12"/>
  <c r="H22" i="12"/>
  <c r="H21" i="12"/>
  <c r="H20" i="12"/>
  <c r="H19" i="12"/>
  <c r="H18" i="12"/>
  <c r="H17" i="12"/>
  <c r="F24" i="12"/>
  <c r="F23" i="12"/>
  <c r="F22" i="12"/>
  <c r="F21" i="12"/>
  <c r="F20" i="12"/>
  <c r="F19" i="12"/>
  <c r="F18" i="12"/>
  <c r="F17" i="12"/>
  <c r="B7" i="12"/>
  <c r="B8" i="12" s="1"/>
  <c r="B9" i="12" s="1"/>
  <c r="B10" i="12" s="1"/>
  <c r="B11" i="12" s="1"/>
  <c r="B12" i="12" s="1"/>
  <c r="B13" i="12" s="1"/>
  <c r="J18" i="14" l="1"/>
  <c r="I18" i="14" s="1"/>
  <c r="I19" i="14"/>
  <c r="I21" i="14"/>
  <c r="I17" i="14"/>
  <c r="I20" i="14"/>
  <c r="E100" i="11"/>
  <c r="G101" i="11" s="1"/>
  <c r="G111" i="11"/>
  <c r="G112" i="11" s="1"/>
  <c r="G122" i="11"/>
  <c r="C10" i="3" l="1"/>
  <c r="C9" i="3"/>
  <c r="C8" i="3"/>
  <c r="C7" i="3"/>
  <c r="C6" i="3"/>
  <c r="G33" i="11"/>
  <c r="E33" i="11"/>
  <c r="G32" i="11"/>
  <c r="E32" i="11"/>
  <c r="G31" i="11"/>
  <c r="E31" i="11"/>
  <c r="E30" i="11"/>
  <c r="G29" i="11"/>
  <c r="E29" i="11"/>
  <c r="G28" i="11"/>
  <c r="E28" i="11"/>
  <c r="G22" i="11"/>
  <c r="E22" i="11"/>
  <c r="G21" i="11"/>
  <c r="G20" i="11"/>
  <c r="E20" i="11"/>
  <c r="G19" i="11"/>
  <c r="E19" i="11"/>
  <c r="G18" i="11"/>
  <c r="E18" i="11"/>
  <c r="G17" i="11"/>
  <c r="E17" i="11"/>
  <c r="E23" i="11" s="1"/>
  <c r="B7" i="11"/>
  <c r="B8" i="11" s="1"/>
  <c r="B9" i="11" s="1"/>
  <c r="B10" i="11" s="1"/>
  <c r="B11" i="11" s="1"/>
  <c r="B12" i="11" s="1"/>
  <c r="B13" i="11" s="1"/>
  <c r="B1" i="6"/>
  <c r="C1" i="6" s="1"/>
  <c r="D1" i="6" s="1"/>
  <c r="E1" i="6" s="1"/>
  <c r="F1" i="6" s="1"/>
  <c r="G1" i="6" s="1"/>
  <c r="A44" i="1"/>
  <c r="A43" i="1"/>
  <c r="B40" i="1"/>
  <c r="B43" i="1" s="1"/>
  <c r="B44" i="1" s="1"/>
  <c r="A40" i="1"/>
  <c r="A39" i="1"/>
  <c r="A37" i="1"/>
  <c r="B36" i="1"/>
  <c r="A36" i="1"/>
  <c r="A35" i="1"/>
  <c r="A34" i="1"/>
  <c r="B33" i="1"/>
  <c r="B34" i="1" s="1"/>
  <c r="B35" i="1" s="1"/>
  <c r="A33" i="1"/>
  <c r="A32" i="1"/>
  <c r="A31" i="1"/>
  <c r="B30" i="1"/>
  <c r="B31" i="1" s="1"/>
  <c r="B32" i="1" s="1"/>
  <c r="A30" i="1"/>
  <c r="A29" i="1"/>
  <c r="A28" i="1"/>
  <c r="B27" i="1"/>
  <c r="B28" i="1" s="1"/>
  <c r="B29" i="1" s="1"/>
  <c r="A27" i="1"/>
  <c r="A22" i="1"/>
  <c r="A21" i="1"/>
  <c r="B18" i="1"/>
  <c r="B9" i="1" s="1"/>
  <c r="B10" i="1" s="1"/>
  <c r="B11" i="1" s="1"/>
  <c r="A18" i="1"/>
  <c r="A17" i="1"/>
  <c r="A14" i="1"/>
  <c r="B13" i="1"/>
  <c r="B14" i="1" s="1"/>
  <c r="B17" i="1" s="1"/>
  <c r="A13" i="1"/>
  <c r="A11" i="1"/>
  <c r="A10" i="1"/>
  <c r="A9" i="1"/>
  <c r="A7" i="1"/>
  <c r="A6" i="1"/>
  <c r="B5" i="1"/>
  <c r="B6" i="1" s="1"/>
  <c r="B7" i="1" s="1"/>
  <c r="A5" i="1"/>
  <c r="G23" i="11" l="1"/>
  <c r="G24" i="11" s="1"/>
  <c r="H1" i="6"/>
  <c r="G34" i="11"/>
  <c r="E34" i="11"/>
  <c r="B37" i="1"/>
  <c r="B21" i="1"/>
  <c r="G35" i="11" l="1"/>
  <c r="B39" i="1"/>
  <c r="C35" i="1" s="1"/>
  <c r="B22" i="1"/>
  <c r="C22" i="1" s="1"/>
  <c r="C43" i="1" l="1"/>
  <c r="C27" i="1"/>
  <c r="C13" i="1"/>
  <c r="C11" i="1"/>
  <c r="C18" i="1"/>
  <c r="C14" i="1"/>
  <c r="C17" i="1"/>
  <c r="C34" i="1"/>
  <c r="C29" i="1"/>
  <c r="C31" i="1"/>
  <c r="C40" i="1"/>
  <c r="C30" i="1"/>
  <c r="C44" i="1"/>
  <c r="C39" i="1"/>
  <c r="C33" i="1"/>
  <c r="C28" i="1"/>
  <c r="C36" i="1"/>
  <c r="C32" i="1"/>
  <c r="C37" i="1"/>
  <c r="C10" i="1"/>
  <c r="C9" i="1"/>
  <c r="C7" i="1"/>
  <c r="C5" i="1"/>
  <c r="C21" i="1"/>
  <c r="C6" i="1"/>
</calcChain>
</file>

<file path=xl/comments1.xml><?xml version="1.0" encoding="utf-8"?>
<comments xmlns="http://schemas.openxmlformats.org/spreadsheetml/2006/main">
  <authors>
    <author>Ominski, Auja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</rPr>
          <t>Ominski, Auja:</t>
        </r>
        <r>
          <rPr>
            <sz val="9"/>
            <color indexed="81"/>
            <rFont val="Tahoma"/>
            <family val="2"/>
          </rPr>
          <t xml:space="preserve">
Remove the "N/A" options from the dropdown list. Remove from all lists that have them.</t>
        </r>
      </text>
    </comment>
  </commentList>
</comments>
</file>

<file path=xl/comments2.xml><?xml version="1.0" encoding="utf-8"?>
<comments xmlns="http://schemas.openxmlformats.org/spreadsheetml/2006/main">
  <authors>
    <author>Ominski, Auja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Ominski, Auja:</t>
        </r>
        <r>
          <rPr>
            <sz val="9"/>
            <color indexed="81"/>
            <rFont val="Tahoma"/>
            <family val="2"/>
          </rPr>
          <t xml:space="preserve">
these blank cells don't need the dropdowns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Ominski, Auja:</t>
        </r>
        <r>
          <rPr>
            <sz val="9"/>
            <color indexed="81"/>
            <rFont val="Tahoma"/>
            <family val="2"/>
          </rPr>
          <t xml:space="preserve">
Can we just remove these empty rows? Or Hide them or something? From my understanding they shouldn't have a function for segments</t>
        </r>
      </text>
    </comment>
  </commentList>
</comments>
</file>

<file path=xl/comments3.xml><?xml version="1.0" encoding="utf-8"?>
<comments xmlns="http://schemas.openxmlformats.org/spreadsheetml/2006/main">
  <authors>
    <author>Ominski, Auja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Ominski, Auja:</t>
        </r>
        <r>
          <rPr>
            <sz val="9"/>
            <color indexed="81"/>
            <rFont val="Tahoma"/>
            <family val="2"/>
          </rPr>
          <t xml:space="preserve">
NOT HRM Staff, OTC staff? Do we want to say that?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Ominski, Auja:</t>
        </r>
        <r>
          <rPr>
            <sz val="9"/>
            <color indexed="81"/>
            <rFont val="Tahoma"/>
            <family val="2"/>
          </rPr>
          <t xml:space="preserve">
Is this spreadsheet actually used or was it more so being used for reference?</t>
        </r>
      </text>
    </comment>
  </commentList>
</comments>
</file>

<file path=xl/sharedStrings.xml><?xml version="1.0" encoding="utf-8"?>
<sst xmlns="http://schemas.openxmlformats.org/spreadsheetml/2006/main" count="1189" uniqueCount="379">
  <si>
    <t>Mode</t>
  </si>
  <si>
    <t>A</t>
  </si>
  <si>
    <t>B</t>
  </si>
  <si>
    <t>C</t>
  </si>
  <si>
    <t>D</t>
  </si>
  <si>
    <t>E</t>
  </si>
  <si>
    <t>F</t>
  </si>
  <si>
    <t>Transit</t>
  </si>
  <si>
    <t>Mixed Traffic</t>
  </si>
  <si>
    <t>SEGMENTS</t>
  </si>
  <si>
    <t>LOS</t>
  </si>
  <si>
    <t>Mixed Traffic + Parking</t>
  </si>
  <si>
    <t>Measure</t>
  </si>
  <si>
    <t>SCENARIO:</t>
  </si>
  <si>
    <t>Actual</t>
  </si>
  <si>
    <t>Target</t>
  </si>
  <si>
    <t>Value</t>
  </si>
  <si>
    <t>Corridor Type</t>
  </si>
  <si>
    <t>Basic</t>
  </si>
  <si>
    <t>Yes / No</t>
  </si>
  <si>
    <t>Yes</t>
  </si>
  <si>
    <t>No</t>
  </si>
  <si>
    <t>Area Type:</t>
  </si>
  <si>
    <t>DIR</t>
  </si>
  <si>
    <t>EB</t>
  </si>
  <si>
    <t>WB</t>
  </si>
  <si>
    <t>SB</t>
  </si>
  <si>
    <t>NB</t>
  </si>
  <si>
    <t>MODE</t>
  </si>
  <si>
    <t>Chain Lake Drive - Existing Condition - AM Peak Hour</t>
  </si>
  <si>
    <t>10.5 - 14</t>
  </si>
  <si>
    <t>61 - 75</t>
  </si>
  <si>
    <t>76 - 90</t>
  </si>
  <si>
    <t>91 - 105</t>
  </si>
  <si>
    <t>106 - 120</t>
  </si>
  <si>
    <t>0 - 10</t>
  </si>
  <si>
    <t>0.60 - 0.69</t>
  </si>
  <si>
    <t>0.70 - 0.79</t>
  </si>
  <si>
    <t>21 - 35</t>
  </si>
  <si>
    <t>15 - 16</t>
  </si>
  <si>
    <t>0.80 - 0.89</t>
  </si>
  <si>
    <t>36 - 55</t>
  </si>
  <si>
    <t>13 - 14</t>
  </si>
  <si>
    <t>0.90 - 0.99</t>
  </si>
  <si>
    <t>56 - 80</t>
  </si>
  <si>
    <t>11 - 12</t>
  </si>
  <si>
    <t>11 - 20</t>
  </si>
  <si>
    <t>PW:  hrmmmlos</t>
  </si>
  <si>
    <t>CHAIN LAKE / DAIRY QUEEN - Signalized 4-Way</t>
  </si>
  <si>
    <t>Weight</t>
  </si>
  <si>
    <t>Physically Separated</t>
  </si>
  <si>
    <t>Horizontally Separated</t>
  </si>
  <si>
    <t>Curb Lane &gt;4m</t>
  </si>
  <si>
    <t>Curb Lane &lt;4m</t>
  </si>
  <si>
    <t>Right Turn Lane</t>
  </si>
  <si>
    <t>Priority</t>
  </si>
  <si>
    <t>Approach</t>
  </si>
  <si>
    <t>Name</t>
  </si>
  <si>
    <t>Max Score</t>
  </si>
  <si>
    <t>Treatment</t>
  </si>
  <si>
    <t>Score</t>
  </si>
  <si>
    <t>Approach Score</t>
  </si>
  <si>
    <t>Grade</t>
  </si>
  <si>
    <t>SCORING</t>
  </si>
  <si>
    <t>Maximum Score</t>
  </si>
  <si>
    <t>Pedestrian Facility Width (m)</t>
  </si>
  <si>
    <t>AAA Facility</t>
  </si>
  <si>
    <t>Width of Curb Lane (m)</t>
  </si>
  <si>
    <t>The unique nature of providing cycling infrastructure requires a simple, but specialised, calculation related to the infrastructure present on each of the intersection approaches.</t>
  </si>
  <si>
    <t>Follow these steps to complete the calculation:</t>
  </si>
  <si>
    <t>Clear any information from previous analyses from the white cells in the tables below</t>
  </si>
  <si>
    <t>Type in the name for the intersection approaches under the Name column</t>
  </si>
  <si>
    <t>Select the corridor type (Basic or Priority) for each approach.  Consult the Integrated Mobility Plan or HRM staff to confirm.</t>
  </si>
  <si>
    <t>Select the appropriate treatment - existing or planned - for each approach</t>
  </si>
  <si>
    <t>Note the resulting percentage grade for the intersection</t>
  </si>
  <si>
    <t>Select the appropriate percentage range for your intersection on the INTERSECTIONS tab</t>
  </si>
  <si>
    <t>Repeat as necessary for all intersections in your study area.  Leave the calculations on this tab for future reference.</t>
  </si>
  <si>
    <t>Chain Lake NB</t>
  </si>
  <si>
    <t>Chain Lake SB</t>
  </si>
  <si>
    <t>MacDonalds EB</t>
  </si>
  <si>
    <t>Dairy Queen WB</t>
  </si>
  <si>
    <t>CHAIN LAKE / WASHMILL / SUSIE LAKE - Signalized 4-Way</t>
  </si>
  <si>
    <t>Chain Lake / Washmill / Susie Lake</t>
  </si>
  <si>
    <t>Chain Lake WB</t>
  </si>
  <si>
    <t>Chain Lake EB</t>
  </si>
  <si>
    <t>Susie Lake NB</t>
  </si>
  <si>
    <t>Washmill SB</t>
  </si>
  <si>
    <t>LOS AND DATA ENTRY - Use this to enter what you know and for detailed or summary results presentation</t>
  </si>
  <si>
    <t>BICYCLE INTERSECTION ENVIRONMENT SCORE</t>
  </si>
  <si>
    <t>BICYCLE SEGMENT ENVIRONMENT SCORE</t>
  </si>
  <si>
    <t>The unique nature of providing cycling infrastructure requires a simple, but specialised, calculation related to the safety of cycling on the segment.</t>
  </si>
  <si>
    <t>Count the number of driveways on the segment in each direction</t>
  </si>
  <si>
    <t>Sort the driveways into the types listed in the table below</t>
  </si>
  <si>
    <t>Multiply the number of driveways of each type by the appropriate factor</t>
  </si>
  <si>
    <t>Sum up the total score for each direction on the segment</t>
  </si>
  <si>
    <t>Driveway Type</t>
  </si>
  <si>
    <t>Factor</t>
  </si>
  <si>
    <t>Residential</t>
  </si>
  <si>
    <t>Low Density (1-4 units)</t>
  </si>
  <si>
    <t>Medium Density (5-13)</t>
  </si>
  <si>
    <t>High Density (13+)</t>
  </si>
  <si>
    <t>Commercial, Industrial, Institutional</t>
  </si>
  <si>
    <t>Low (0-10 parking spaces, includes loading zones)</t>
  </si>
  <si>
    <t>Medium (10-50 parking spaces)</t>
  </si>
  <si>
    <t>Sites with open access</t>
  </si>
  <si>
    <t>High (&gt;50 parking spaces)</t>
  </si>
  <si>
    <t>Drive-Thrus (high turnover)</t>
  </si>
  <si>
    <t>Count</t>
  </si>
  <si>
    <t>SB / WB</t>
  </si>
  <si>
    <t>NB / EB</t>
  </si>
  <si>
    <t xml:space="preserve">McDonalds to Washmill Lake </t>
  </si>
  <si>
    <t>Enter the name of the segment in the top left cell of the table</t>
  </si>
  <si>
    <t>Segment 2</t>
  </si>
  <si>
    <t>Segment 3</t>
  </si>
  <si>
    <t>Segment 4</t>
  </si>
  <si>
    <t>Segment 5</t>
  </si>
  <si>
    <t>Segment 7</t>
  </si>
  <si>
    <t>Segment 6</t>
  </si>
  <si>
    <t>Segment 8</t>
  </si>
  <si>
    <t>Segment 9</t>
  </si>
  <si>
    <t>Segment 10</t>
  </si>
  <si>
    <t>Repeat as necessary for all segments in your study area.  Leave the calculations on this tab for future reference.</t>
  </si>
  <si>
    <t>Chain Lake / McDonalds / Dairy Queen</t>
  </si>
  <si>
    <t>Intersection 3</t>
  </si>
  <si>
    <t>Intersection 4</t>
  </si>
  <si>
    <t>Intersection 5</t>
  </si>
  <si>
    <t>Intersection 6</t>
  </si>
  <si>
    <t>Intersection 7</t>
  </si>
  <si>
    <t>Intersection 8</t>
  </si>
  <si>
    <t>Intersection 9</t>
  </si>
  <si>
    <t>Intersection 10</t>
  </si>
  <si>
    <t>SPREADSHEET CONTROLS</t>
  </si>
  <si>
    <t>Transit Facility Type</t>
  </si>
  <si>
    <t>BICYCLE SEGMENT SPACE SCORE</t>
  </si>
  <si>
    <t>The unique nature of providing cycling infrastructure requires a simple, but specialised, calculation related to the comfort of cycling on the segment.</t>
  </si>
  <si>
    <t>AADT (x1000) x Operating Speed</t>
  </si>
  <si>
    <t>Facility Type</t>
  </si>
  <si>
    <t>Painted Bike Lane (No Buffer) &lt;1.8m</t>
  </si>
  <si>
    <t>AADT (x1000)</t>
  </si>
  <si>
    <t>Operating Speed</t>
  </si>
  <si>
    <t>Segment</t>
  </si>
  <si>
    <t>Buffered Bike Lane OR Painted Bike Lane ≥ 1.8m</t>
  </si>
  <si>
    <t>Column</t>
  </si>
  <si>
    <t>Enter the name of the segment in the left column of the table</t>
  </si>
  <si>
    <t>Select the facility type from the drop-down menu</t>
  </si>
  <si>
    <t>Enter the operating speed for cars on the segment in the appropriate column</t>
  </si>
  <si>
    <t>Note the resulting score and LOS</t>
  </si>
  <si>
    <t>On the SEGMENTS page, select the appropriate LOS from the drop-down menu for each segment direction</t>
  </si>
  <si>
    <t>Enter the AADT (x 1000) in the appropriate column (AADT is typically calculated as the total two-way volume)</t>
  </si>
  <si>
    <t>Direction</t>
  </si>
  <si>
    <t>Segment 11</t>
  </si>
  <si>
    <t>Segment 12</t>
  </si>
  <si>
    <t>Segment 13</t>
  </si>
  <si>
    <t>Segment 14</t>
  </si>
  <si>
    <t>Segment 15</t>
  </si>
  <si>
    <t>Segment 16</t>
  </si>
  <si>
    <t>Segment 17</t>
  </si>
  <si>
    <t>Segment 18</t>
  </si>
  <si>
    <t>Segment 19</t>
  </si>
  <si>
    <t>Segment 20</t>
  </si>
  <si>
    <t>Segment 21</t>
  </si>
  <si>
    <t>Segment 22</t>
  </si>
  <si>
    <t>Segment 23</t>
  </si>
  <si>
    <t>Segment 24</t>
  </si>
  <si>
    <t>Select the direction of the facility from the drop-down menu</t>
  </si>
  <si>
    <t>Scoring</t>
  </si>
  <si>
    <t>GRADE TABLES BY MODE</t>
  </si>
  <si>
    <t>85 - 100%</t>
  </si>
  <si>
    <t>10 - 35%</t>
  </si>
  <si>
    <t>Segment Length (km)</t>
  </si>
  <si>
    <t xml:space="preserve">Driveway Density </t>
  </si>
  <si>
    <t>Divide the score by the segment length (in kilometres) to determine the driveway density</t>
  </si>
  <si>
    <t>On the SEGMENTS page, select the appropriate driveway density from the drop-down menu for each segment direction</t>
  </si>
  <si>
    <t>Washmill to Dairy Queen</t>
  </si>
  <si>
    <t>Pedestrians</t>
  </si>
  <si>
    <t>N/A</t>
  </si>
  <si>
    <t>Type</t>
  </si>
  <si>
    <t>S</t>
  </si>
  <si>
    <t>U</t>
  </si>
  <si>
    <t>I</t>
  </si>
  <si>
    <t>UNSIGNALIZED INTERSECTIONS</t>
  </si>
  <si>
    <t>SIGNALIZED INTERSECTIONS</t>
  </si>
  <si>
    <t>W</t>
  </si>
  <si>
    <t>T</t>
  </si>
  <si>
    <t>TR</t>
  </si>
  <si>
    <t>AT Check 1</t>
  </si>
  <si>
    <t>Q</t>
  </si>
  <si>
    <t>Walking</t>
  </si>
  <si>
    <t>Cycling</t>
  </si>
  <si>
    <t>Trucks</t>
  </si>
  <si>
    <t>Cars</t>
  </si>
  <si>
    <t>Downtown Avenue</t>
  </si>
  <si>
    <t xml:space="preserve">Neighbourhood Street </t>
  </si>
  <si>
    <t>Regional Connector</t>
  </si>
  <si>
    <t>Rural Connector</t>
  </si>
  <si>
    <t>Average Crossing Distance (m)</t>
  </si>
  <si>
    <t>9 - 11</t>
  </si>
  <si>
    <t>100% of movements</t>
  </si>
  <si>
    <t>Bikes</t>
  </si>
  <si>
    <t xml:space="preserve"> Bike priority on all approaches </t>
  </si>
  <si>
    <t xml:space="preserve"> No bike priority</t>
  </si>
  <si>
    <t xml:space="preserve">Requirement to stop </t>
  </si>
  <si>
    <t>Buses</t>
  </si>
  <si>
    <t xml:space="preserve">Transit Movement Delay (s) </t>
  </si>
  <si>
    <t>Pedestrian Level of Service</t>
  </si>
  <si>
    <t xml:space="preserve">Car Level of Service </t>
  </si>
  <si>
    <t xml:space="preserve">% of Movements with 
Dedicated Turn Lanes </t>
  </si>
  <si>
    <t xml:space="preserve">Intersection Delay (s) </t>
  </si>
  <si>
    <t>91 -105</t>
  </si>
  <si>
    <t>106 -120</t>
  </si>
  <si>
    <t>7 - 8</t>
  </si>
  <si>
    <t xml:space="preserve"> 6- 7</t>
  </si>
  <si>
    <t xml:space="preserve">Transit Priority Measures </t>
  </si>
  <si>
    <t>No transit priority 
measures at any 
approaches for transit</t>
  </si>
  <si>
    <t>Max Distance Between Controlled Crossings (m)</t>
  </si>
  <si>
    <t>Bike Facility Width per Direction (m)</t>
  </si>
  <si>
    <t>Bike Buffer Width (m)</t>
  </si>
  <si>
    <t>Minimal in-lane conflicts (on-street facility) OR Minimal mid-block crossings of bike facility (boulevard facility)</t>
  </si>
  <si>
    <t>Dedicated lanes</t>
  </si>
  <si>
    <t>Intersection priority measures</t>
  </si>
  <si>
    <t>Mixed Traffic with 1 lane</t>
  </si>
  <si>
    <t>Transit Passenger Amenities</t>
  </si>
  <si>
    <t>Abundance of passenger amenities such as shelters, seating, shade trees, etc.</t>
  </si>
  <si>
    <t>No presence of passenger 
amenities such as shelters, 
seating, shade trees, etc.</t>
  </si>
  <si>
    <t>Car Level of Service</t>
  </si>
  <si>
    <t>Curb Lane Conflicts</t>
  </si>
  <si>
    <t>Low curb lane conflicts</t>
  </si>
  <si>
    <t>Pedestrian Buffer Width (m)</t>
  </si>
  <si>
    <t>Measure 1</t>
  </si>
  <si>
    <t>Measure 2</t>
  </si>
  <si>
    <t>Measure 3</t>
  </si>
  <si>
    <t>Measure 4</t>
  </si>
  <si>
    <t>-</t>
  </si>
  <si>
    <t>Adjustment</t>
  </si>
  <si>
    <t>Downwards</t>
  </si>
  <si>
    <t>Upwards</t>
  </si>
  <si>
    <t>None</t>
  </si>
  <si>
    <t>Reasons (if applicable)</t>
  </si>
  <si>
    <t>AT Check 2</t>
  </si>
  <si>
    <t>AT Check 3</t>
  </si>
  <si>
    <t>Do the pedestrian facilities provide direct access to all properties along the segment? (Direct access can be provided by an adjacent facility or designated crossing to the property in question)</t>
  </si>
  <si>
    <t>Does the bicycle facility selected correspond with the minimum appropriate facility type identified in the context appropriate nomograph (Figure 6.1, 6.2)?</t>
  </si>
  <si>
    <t>Does the approaching bike facility continue at a consistent width up to the edge of the intersection (crosswalk or curb edge of intersecting roadway)?</t>
  </si>
  <si>
    <t>Is a continuous amount of space and accompanying pavement makings delineated for cyclists through the intersection?</t>
  </si>
  <si>
    <t>Does the intersection design provide features which facilitate all the intended turn movements for cyclists (e.g. bike boxes, queuing space, protected intersection, etc)?</t>
  </si>
  <si>
    <t>Intersection</t>
  </si>
  <si>
    <t>Active Transportation Design Check</t>
  </si>
  <si>
    <t>MMLOS Evaluation</t>
  </si>
  <si>
    <t>Larger than 3.00</t>
  </si>
  <si>
    <t>Larger than2.40</t>
  </si>
  <si>
    <t>Larger than 11</t>
  </si>
  <si>
    <t>Larger than 80</t>
  </si>
  <si>
    <t>Less than 9</t>
  </si>
  <si>
    <t>Less than 7</t>
  </si>
  <si>
    <t>Less than 60</t>
  </si>
  <si>
    <t>Less than 200</t>
  </si>
  <si>
    <t>Less than 0.60</t>
  </si>
  <si>
    <t>Less than 50% of movements</t>
  </si>
  <si>
    <t>Less than 11</t>
  </si>
  <si>
    <t>Less than 10%</t>
  </si>
  <si>
    <t>Less than1.00</t>
  </si>
  <si>
    <t>No physical measures and buffer width is Less than0.5</t>
  </si>
  <si>
    <t>Less than3.40</t>
  </si>
  <si>
    <t xml:space="preserve">All movements </t>
  </si>
  <si>
    <t>Adjustment for Strategic Policy</t>
  </si>
  <si>
    <t>Adjustment for Planning Direction</t>
  </si>
  <si>
    <t>Fisher Ave &amp; Dynes Road</t>
  </si>
  <si>
    <t>Are marked pedestrian crossings provided to connect all approaching pedestrian facilities?</t>
  </si>
  <si>
    <t>Queen St from Kent to Bank</t>
  </si>
  <si>
    <t>Findlay Creek Dr &amp; Kelly Farm Dr</t>
  </si>
  <si>
    <t>Type in the intersection name in the dark grey header area at the top of the table</t>
  </si>
  <si>
    <t>9+</t>
  </si>
  <si>
    <t>1-2</t>
  </si>
  <si>
    <t>3-4</t>
  </si>
  <si>
    <t>5-6</t>
  </si>
  <si>
    <t>7-8</t>
  </si>
  <si>
    <t>Enhanced Pedestrian Measures</t>
  </si>
  <si>
    <t>&gt; 1</t>
  </si>
  <si>
    <t>0.76 - 1</t>
  </si>
  <si>
    <t>0.51 - 0.75</t>
  </si>
  <si>
    <t>0.26 - 0.5</t>
  </si>
  <si>
    <t>0.01 - 0.25</t>
  </si>
  <si>
    <t>Enhanced Bicycle Facilities</t>
  </si>
  <si>
    <t xml:space="preserve">Signal Cycle Length (s) </t>
  </si>
  <si>
    <t xml:space="preserve">Average Effective Turning Radius 
(m) </t>
  </si>
  <si>
    <t>Have Accessibility for Ontarians with Disabilities Act (AODA) and municipal accessibility 
standards (if applicable) been considered?</t>
  </si>
  <si>
    <t>Greater than or Equal to 50% of movements</t>
  </si>
  <si>
    <t>Greater than 11</t>
  </si>
  <si>
    <t>Greater than 80</t>
  </si>
  <si>
    <t>Greater than or Equal to 18</t>
  </si>
  <si>
    <t>Greater than 120</t>
  </si>
  <si>
    <t>Greater than 18</t>
  </si>
  <si>
    <t>Urban Main Street</t>
  </si>
  <si>
    <t>Urban Boulevard</t>
  </si>
  <si>
    <t>Industrial Connector</t>
  </si>
  <si>
    <t>Industrial Boulevard</t>
  </si>
  <si>
    <t>Neighbourhood Connector</t>
  </si>
  <si>
    <t>Neighbourhood Main Street</t>
  </si>
  <si>
    <t>Neighbourhood Boulevard</t>
  </si>
  <si>
    <t>SEGMENT MEASURES</t>
  </si>
  <si>
    <t>Greater than 4.00</t>
  </si>
  <si>
    <t>Less than 3.4</t>
  </si>
  <si>
    <t>Mid-block V/C Ratio</t>
  </si>
  <si>
    <t>0.90 - 1.00</t>
  </si>
  <si>
    <t>13.0 - 14.9</t>
  </si>
  <si>
    <t>11.0 - 12.9</t>
  </si>
  <si>
    <t>9.0 - 10.9</t>
  </si>
  <si>
    <t>0.26 - 0.50</t>
  </si>
  <si>
    <t>15.0 - 17.9</t>
  </si>
  <si>
    <t>17 - 18</t>
  </si>
  <si>
    <t>7.0 - 8.9</t>
  </si>
  <si>
    <t>9.0 - 11.0</t>
  </si>
  <si>
    <t>Target (Custom if necessary)</t>
  </si>
  <si>
    <t>Presence of Bicycle Facilities</t>
  </si>
  <si>
    <t>Bike facility on all approaches</t>
  </si>
  <si>
    <t>Bike facility on 3/4 or 2/3 approaches</t>
  </si>
  <si>
    <t>Bike facility on 1/2 or 1/3 approaches</t>
  </si>
  <si>
    <t>No bike facility</t>
  </si>
  <si>
    <t>0 - 15 %</t>
  </si>
  <si>
    <t>16 - 30 %</t>
  </si>
  <si>
    <t>31 - 50 %</t>
  </si>
  <si>
    <t>51 - 70 %</t>
  </si>
  <si>
    <t>71 - 85 %</t>
  </si>
  <si>
    <t>Greater than 85%</t>
  </si>
  <si>
    <t>Number of Uncontrolled 
Conflicts (conflicts/approach)</t>
  </si>
  <si>
    <t>1.1 - 1.5</t>
  </si>
  <si>
    <t>1.6 - 2.0</t>
  </si>
  <si>
    <t>2.1 - 2.5</t>
  </si>
  <si>
    <t>Greater than 3</t>
  </si>
  <si>
    <t>No transit priority measures at any approaches for transit</t>
  </si>
  <si>
    <t>Transit priority measures at all approaches for transit</t>
  </si>
  <si>
    <t>Transit priority measures at a minimum of one but not all approaches for transit</t>
  </si>
  <si>
    <t>60 - 84%</t>
  </si>
  <si>
    <t>35 - 59%</t>
  </si>
  <si>
    <t>10 - 34%</t>
  </si>
  <si>
    <t>Greater than 3.0</t>
  </si>
  <si>
    <t>2.6 - 3.0</t>
  </si>
  <si>
    <t>1.8 - 2.0</t>
  </si>
  <si>
    <t>1.5 - 1.7</t>
  </si>
  <si>
    <t>Less than 1.5</t>
  </si>
  <si>
    <t>Greater than 2.5</t>
  </si>
  <si>
    <t>1.3 - 1.5</t>
  </si>
  <si>
    <t>1.0 - 1.2</t>
  </si>
  <si>
    <t>Less than 1.0</t>
  </si>
  <si>
    <t>201 - 230</t>
  </si>
  <si>
    <t>231 - 260</t>
  </si>
  <si>
    <t>261 - 290</t>
  </si>
  <si>
    <t>291 - 320</t>
  </si>
  <si>
    <t>Greater than 2.4</t>
  </si>
  <si>
    <t>2.2 - 2.4</t>
  </si>
  <si>
    <t>1.9 - 2.1</t>
  </si>
  <si>
    <t>1.2 - 1.5</t>
  </si>
  <si>
    <t>Less than 1.2</t>
  </si>
  <si>
    <t>Greater than 320</t>
  </si>
  <si>
    <t>1.6 - 1.8</t>
  </si>
  <si>
    <t>Has physical measures AND buffer width &gt; 1</t>
  </si>
  <si>
    <t>Has physical measures AND buffer width is 0.5 - 1</t>
  </si>
  <si>
    <t>Has physical measures and buffer width is 0.3 - 0.5 
OR 
Has no physical measures and buffer width is &gt; 0.5</t>
  </si>
  <si>
    <t>Has no physical measures and buffer width is &lt; 0.5</t>
  </si>
  <si>
    <t>Mixed traffic with &gt; 1 lane per direction</t>
  </si>
  <si>
    <t>Mixed traffic with 1 lane per direction</t>
  </si>
  <si>
    <t>Moderate presence of passenger amenities such as shelters, seating, shade trees, etc.</t>
  </si>
  <si>
    <t>Low presence of passenger amenities such as shelters, seating, shade trees, etc.</t>
  </si>
  <si>
    <t>No presence of passenger amenities such as shelters, seating, shade trees, etc.</t>
  </si>
  <si>
    <t>3.9 - 4.0</t>
  </si>
  <si>
    <t>3.7 - 3.8</t>
  </si>
  <si>
    <t>3.4 - 3.6</t>
  </si>
  <si>
    <t>Greater than 1.00</t>
  </si>
  <si>
    <t>Marked Crossings</t>
  </si>
  <si>
    <t>1.0</t>
  </si>
  <si>
    <t>TARGET LOS VALUES BY MODE AND STREET TYPE</t>
  </si>
  <si>
    <t>Reasons for adjustment (if applicable)</t>
  </si>
  <si>
    <t>Conflicts with Other Modes 
(in-lane conflicts and cross point conflicts)</t>
  </si>
  <si>
    <t>Two "low" conflict indicators</t>
  </si>
  <si>
    <t>Two "moderate" conflict indicators</t>
  </si>
  <si>
    <t>Two "high" conflict indicators</t>
  </si>
  <si>
    <t>One "low" conflict indicator and one "moderate" conflict indicator</t>
  </si>
  <si>
    <t>One "low" conflict indicator and one "high" conflict indicator</t>
  </si>
  <si>
    <t>One "moderate" conflict indicator and one "high" conflict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</si>
</sst>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"/>
    <numFmt numFmtId="167" formatCode="0.0"/>
  </numFmts>
  <fonts count="5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 tint="0.499984740745262"/>
      <name val="Calibri"/>
      <family val="2"/>
      <scheme val="minor"/>
    </font>
    <font>
      <b/>
      <sz val="18"/>
      <color theme="1" tint="0.499984740745262"/>
      <name val="Calibri"/>
      <family val="2"/>
      <scheme val="minor"/>
    </font>
    <font>
      <b/>
      <sz val="18"/>
      <color rgb="FF7C2E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26"/>
      <color rgb="FF7C2E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26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79DCB"/>
        <bgColor indexed="64"/>
      </patternFill>
    </fill>
    <fill>
      <patternFill patternType="solid">
        <fgColor rgb="FF4072AE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8AAC4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4C06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DF5E3"/>
        <bgColor indexed="64"/>
      </patternFill>
    </fill>
    <fill>
      <patternFill patternType="solid">
        <fgColor rgb="FFFAE7B8"/>
        <bgColor indexed="64"/>
      </patternFill>
    </fill>
    <fill>
      <patternFill patternType="solid">
        <fgColor rgb="FFF8DB92"/>
        <bgColor indexed="64"/>
      </patternFill>
    </fill>
    <fill>
      <patternFill patternType="solid">
        <fgColor rgb="FFE4A70E"/>
        <bgColor indexed="64"/>
      </patternFill>
    </fill>
    <fill>
      <patternFill patternType="solid">
        <fgColor rgb="FFF6CE6A"/>
        <bgColor indexed="64"/>
      </patternFill>
    </fill>
    <fill>
      <patternFill patternType="solid">
        <fgColor rgb="FFF4C142"/>
        <bgColor indexed="64"/>
      </patternFill>
    </fill>
    <fill>
      <patternFill patternType="solid">
        <fgColor rgb="FFE1A40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A4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6C6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5"/>
        <bgColor indexed="64"/>
      </patternFill>
    </fill>
  </fills>
  <borders count="1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1" tint="0.49998474074526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ck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1" tint="0.499984740745262"/>
      </right>
      <top style="thin">
        <color theme="0" tint="-0.24994659260841701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ck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/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n">
        <color theme="0" tint="-0.24994659260841701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ck">
        <color theme="0" tint="-0.24994659260841701"/>
      </right>
      <top/>
      <bottom/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theme="1" tint="0.499984740745262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theme="0" tint="-0.24994659260841701"/>
      </top>
      <bottom/>
      <diagonal/>
    </border>
    <border>
      <left/>
      <right style="double">
        <color indexed="64"/>
      </right>
      <top style="thin">
        <color theme="0" tint="-0.24994659260841701"/>
      </top>
      <bottom/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indexed="64"/>
      </right>
      <top/>
      <bottom style="thin">
        <color theme="0" tint="-0.24994659260841701"/>
      </bottom>
      <diagonal/>
    </border>
    <border>
      <left/>
      <right style="double">
        <color indexed="64"/>
      </right>
      <top/>
      <bottom style="thick">
        <color theme="1" tint="0.499984740745262"/>
      </bottom>
      <diagonal/>
    </border>
    <border>
      <left/>
      <right style="double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double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505">
    <xf numFmtId="0" fontId="0" fillId="0" borderId="0" xfId="0"/>
    <xf numFmtId="0" fontId="4" fillId="3" borderId="7" xfId="0" quotePrefix="1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0" fillId="21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1" borderId="7" xfId="0" applyFont="1" applyFill="1" applyBorder="1" applyAlignment="1">
      <alignment horizontal="center" vertical="center" wrapText="1"/>
    </xf>
    <xf numFmtId="0" fontId="0" fillId="21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14" borderId="49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 vertical="center" wrapText="1"/>
    </xf>
    <xf numFmtId="164" fontId="25" fillId="0" borderId="29" xfId="1" applyNumberFormat="1" applyFont="1" applyBorder="1"/>
    <xf numFmtId="164" fontId="0" fillId="0" borderId="29" xfId="1" applyNumberFormat="1" applyFont="1" applyBorder="1" applyAlignment="1">
      <alignment vertical="center" wrapText="1"/>
    </xf>
    <xf numFmtId="164" fontId="2" fillId="8" borderId="5" xfId="1" applyNumberFormat="1" applyFont="1" applyFill="1" applyBorder="1" applyAlignment="1">
      <alignment horizontal="center" vertical="center" wrapText="1"/>
    </xf>
    <xf numFmtId="164" fontId="4" fillId="6" borderId="7" xfId="1" applyNumberFormat="1" applyFont="1" applyFill="1" applyBorder="1" applyAlignment="1">
      <alignment horizontal="center" vertical="center" wrapText="1"/>
    </xf>
    <xf numFmtId="164" fontId="4" fillId="7" borderId="1" xfId="1" applyNumberFormat="1" applyFont="1" applyFill="1" applyBorder="1" applyAlignment="1">
      <alignment horizontal="center" vertical="center" wrapText="1"/>
    </xf>
    <xf numFmtId="164" fontId="4" fillId="10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2" fillId="12" borderId="2" xfId="1" applyNumberFormat="1" applyFont="1" applyFill="1" applyBorder="1" applyAlignment="1">
      <alignment horizontal="center" vertical="center" wrapText="1"/>
    </xf>
    <xf numFmtId="164" fontId="4" fillId="14" borderId="7" xfId="1" applyNumberFormat="1" applyFont="1" applyFill="1" applyBorder="1" applyAlignment="1">
      <alignment horizontal="center" vertical="center" wrapText="1"/>
    </xf>
    <xf numFmtId="164" fontId="4" fillId="15" borderId="4" xfId="1" applyNumberFormat="1" applyFont="1" applyFill="1" applyBorder="1" applyAlignment="1">
      <alignment horizontal="center" vertical="center" wrapText="1"/>
    </xf>
    <xf numFmtId="164" fontId="4" fillId="16" borderId="4" xfId="1" applyNumberFormat="1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5" borderId="6" xfId="1" applyNumberFormat="1" applyFont="1" applyFill="1" applyBorder="1" applyAlignment="1">
      <alignment horizontal="center" vertical="center" wrapText="1"/>
    </xf>
    <xf numFmtId="0" fontId="4" fillId="5" borderId="12" xfId="1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9" fillId="4" borderId="0" xfId="0" applyFont="1" applyFill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22" fillId="20" borderId="48" xfId="0" applyFont="1" applyFill="1" applyBorder="1" applyAlignment="1" applyProtection="1">
      <alignment vertical="center"/>
      <protection locked="0"/>
    </xf>
    <xf numFmtId="0" fontId="21" fillId="3" borderId="40" xfId="0" applyFont="1" applyFill="1" applyBorder="1" applyAlignment="1" applyProtection="1">
      <alignment horizontal="center" vertical="center"/>
      <protection locked="0"/>
    </xf>
    <xf numFmtId="0" fontId="13" fillId="19" borderId="31" xfId="0" applyFont="1" applyFill="1" applyBorder="1" applyAlignment="1" applyProtection="1">
      <alignment horizontal="center" vertical="center"/>
      <protection locked="0"/>
    </xf>
    <xf numFmtId="0" fontId="13" fillId="19" borderId="32" xfId="0" applyFont="1" applyFill="1" applyBorder="1" applyAlignment="1" applyProtection="1">
      <alignment horizontal="center" vertical="center"/>
      <protection locked="0"/>
    </xf>
    <xf numFmtId="0" fontId="13" fillId="19" borderId="33" xfId="0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1" fillId="26" borderId="0" xfId="0" applyFont="1" applyFill="1" applyAlignment="1">
      <alignment horizontal="left" vertical="center"/>
    </xf>
    <xf numFmtId="0" fontId="31" fillId="26" borderId="0" xfId="0" applyFont="1" applyFill="1" applyAlignment="1">
      <alignment vertical="center"/>
    </xf>
    <xf numFmtId="0" fontId="31" fillId="26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1" fillId="26" borderId="0" xfId="0" applyFont="1" applyFill="1" applyBorder="1" applyAlignment="1">
      <alignment horizontal="left" vertical="center"/>
    </xf>
    <xf numFmtId="0" fontId="31" fillId="26" borderId="0" xfId="0" applyFont="1" applyFill="1" applyBorder="1" applyAlignment="1">
      <alignment vertical="center"/>
    </xf>
    <xf numFmtId="0" fontId="31" fillId="2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35" fillId="26" borderId="0" xfId="0" applyFont="1" applyFill="1" applyAlignment="1">
      <alignment vertical="center"/>
    </xf>
    <xf numFmtId="0" fontId="35" fillId="26" borderId="0" xfId="0" applyFont="1" applyFill="1" applyAlignment="1">
      <alignment horizontal="center" vertical="center"/>
    </xf>
    <xf numFmtId="0" fontId="34" fillId="22" borderId="37" xfId="0" applyFont="1" applyFill="1" applyBorder="1" applyAlignment="1">
      <alignment horizontal="left" vertical="center" wrapText="1"/>
    </xf>
    <xf numFmtId="0" fontId="34" fillId="3" borderId="38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4" fillId="22" borderId="32" xfId="0" applyFont="1" applyFill="1" applyBorder="1" applyAlignment="1">
      <alignment horizontal="left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3" borderId="55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3" fillId="5" borderId="63" xfId="0" applyFont="1" applyFill="1" applyBorder="1" applyAlignment="1">
      <alignment horizontal="center" vertical="center" wrapText="1"/>
    </xf>
    <xf numFmtId="0" fontId="33" fillId="5" borderId="64" xfId="0" applyFont="1" applyFill="1" applyBorder="1" applyAlignment="1">
      <alignment horizontal="center" vertical="center" wrapText="1"/>
    </xf>
    <xf numFmtId="0" fontId="33" fillId="5" borderId="65" xfId="0" applyFont="1" applyFill="1" applyBorder="1" applyAlignment="1">
      <alignment horizontal="center" vertical="center" wrapText="1"/>
    </xf>
    <xf numFmtId="0" fontId="33" fillId="5" borderId="61" xfId="0" applyFont="1" applyFill="1" applyBorder="1" applyAlignment="1">
      <alignment horizontal="center" vertical="center" wrapText="1"/>
    </xf>
    <xf numFmtId="0" fontId="34" fillId="22" borderId="42" xfId="0" applyFont="1" applyFill="1" applyBorder="1" applyAlignment="1">
      <alignment horizontal="left" vertical="center" wrapText="1"/>
    </xf>
    <xf numFmtId="0" fontId="34" fillId="3" borderId="43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22" borderId="74" xfId="0" applyFont="1" applyFill="1" applyBorder="1" applyAlignment="1">
      <alignment horizontal="left" vertical="center" wrapText="1"/>
    </xf>
    <xf numFmtId="0" fontId="34" fillId="3" borderId="75" xfId="0" applyFont="1" applyFill="1" applyBorder="1" applyAlignment="1">
      <alignment horizontal="center" vertical="center" wrapText="1"/>
    </xf>
    <xf numFmtId="0" fontId="34" fillId="0" borderId="76" xfId="0" applyFont="1" applyFill="1" applyBorder="1" applyAlignment="1">
      <alignment horizontal="center" vertical="center" wrapText="1"/>
    </xf>
    <xf numFmtId="0" fontId="34" fillId="3" borderId="77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22" borderId="62" xfId="0" applyFont="1" applyFill="1" applyBorder="1" applyAlignment="1">
      <alignment horizontal="left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34" fillId="3" borderId="65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vertical="center"/>
    </xf>
    <xf numFmtId="0" fontId="5" fillId="5" borderId="69" xfId="0" applyFont="1" applyFill="1" applyBorder="1" applyAlignment="1">
      <alignment horizontal="center" vertical="center"/>
    </xf>
    <xf numFmtId="0" fontId="5" fillId="5" borderId="69" xfId="0" quotePrefix="1" applyFont="1" applyFill="1" applyBorder="1" applyAlignment="1">
      <alignment horizontal="center" vertical="center"/>
    </xf>
    <xf numFmtId="0" fontId="5" fillId="5" borderId="7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6" fillId="9" borderId="80" xfId="0" applyFont="1" applyFill="1" applyBorder="1" applyAlignment="1">
      <alignment vertical="center"/>
    </xf>
    <xf numFmtId="0" fontId="6" fillId="9" borderId="78" xfId="0" applyFont="1" applyFill="1" applyBorder="1" applyAlignment="1">
      <alignment horizontal="center" vertical="center"/>
    </xf>
    <xf numFmtId="0" fontId="6" fillId="9" borderId="79" xfId="0" applyFont="1" applyFill="1" applyBorder="1" applyAlignment="1">
      <alignment horizontal="center" vertical="center"/>
    </xf>
    <xf numFmtId="0" fontId="41" fillId="3" borderId="83" xfId="0" applyFont="1" applyFill="1" applyBorder="1" applyAlignment="1">
      <alignment vertical="center"/>
    </xf>
    <xf numFmtId="0" fontId="34" fillId="3" borderId="81" xfId="0" applyFont="1" applyFill="1" applyBorder="1" applyAlignment="1">
      <alignment vertical="center"/>
    </xf>
    <xf numFmtId="0" fontId="34" fillId="3" borderId="82" xfId="0" applyFont="1" applyFill="1" applyBorder="1" applyAlignment="1">
      <alignment vertical="center"/>
    </xf>
    <xf numFmtId="0" fontId="34" fillId="0" borderId="36" xfId="0" applyFont="1" applyFill="1" applyBorder="1" applyAlignment="1">
      <alignment horizontal="center" vertical="center"/>
    </xf>
    <xf numFmtId="0" fontId="34" fillId="3" borderId="66" xfId="0" applyFont="1" applyFill="1" applyBorder="1" applyAlignment="1">
      <alignment vertical="center"/>
    </xf>
    <xf numFmtId="0" fontId="34" fillId="0" borderId="47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77" xfId="0" applyFont="1" applyFill="1" applyBorder="1" applyAlignment="1">
      <alignment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3" fillId="9" borderId="67" xfId="0" applyFont="1" applyFill="1" applyBorder="1" applyAlignment="1">
      <alignment horizontal="center" vertical="center"/>
    </xf>
    <xf numFmtId="9" fontId="23" fillId="9" borderId="67" xfId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3" borderId="38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41" fillId="19" borderId="84" xfId="0" applyFont="1" applyFill="1" applyBorder="1" applyAlignment="1">
      <alignment horizontal="center" vertical="center"/>
    </xf>
    <xf numFmtId="0" fontId="41" fillId="19" borderId="85" xfId="0" applyFont="1" applyFill="1" applyBorder="1" applyAlignment="1">
      <alignment horizontal="center" vertical="center"/>
    </xf>
    <xf numFmtId="0" fontId="34" fillId="19" borderId="31" xfId="0" applyFont="1" applyFill="1" applyBorder="1" applyAlignment="1">
      <alignment horizontal="center" vertical="center"/>
    </xf>
    <xf numFmtId="0" fontId="34" fillId="19" borderId="33" xfId="0" applyFont="1" applyFill="1" applyBorder="1" applyAlignment="1">
      <alignment horizontal="center" vertical="center"/>
    </xf>
    <xf numFmtId="0" fontId="34" fillId="19" borderId="36" xfId="0" applyFont="1" applyFill="1" applyBorder="1" applyAlignment="1">
      <alignment horizontal="center" vertical="center"/>
    </xf>
    <xf numFmtId="0" fontId="34" fillId="19" borderId="38" xfId="0" applyFont="1" applyFill="1" applyBorder="1" applyAlignment="1">
      <alignment horizontal="center" vertical="center"/>
    </xf>
    <xf numFmtId="0" fontId="34" fillId="19" borderId="47" xfId="0" applyFont="1" applyFill="1" applyBorder="1" applyAlignment="1">
      <alignment horizontal="center" vertical="center"/>
    </xf>
    <xf numFmtId="0" fontId="34" fillId="19" borderId="43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/>
    </xf>
    <xf numFmtId="0" fontId="31" fillId="20" borderId="14" xfId="0" applyFont="1" applyFill="1" applyBorder="1" applyAlignment="1">
      <alignment horizontal="left" vertical="center"/>
    </xf>
    <xf numFmtId="0" fontId="35" fillId="20" borderId="14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9" borderId="90" xfId="0" applyFont="1" applyFill="1" applyBorder="1" applyAlignment="1">
      <alignment horizontal="center" vertical="center" wrapText="1"/>
    </xf>
    <xf numFmtId="0" fontId="8" fillId="9" borderId="52" xfId="0" applyFont="1" applyFill="1" applyBorder="1" applyAlignment="1">
      <alignment horizontal="center" vertical="center" wrapText="1"/>
    </xf>
    <xf numFmtId="0" fontId="8" fillId="9" borderId="91" xfId="0" applyFont="1" applyFill="1" applyBorder="1" applyAlignment="1">
      <alignment horizontal="center" vertical="center" wrapText="1"/>
    </xf>
    <xf numFmtId="0" fontId="8" fillId="9" borderId="51" xfId="0" applyFont="1" applyFill="1" applyBorder="1" applyAlignment="1">
      <alignment horizontal="center" vertical="center" wrapText="1"/>
    </xf>
    <xf numFmtId="0" fontId="8" fillId="9" borderId="53" xfId="0" applyFont="1" applyFill="1" applyBorder="1" applyAlignment="1">
      <alignment horizontal="center" vertical="center" wrapText="1"/>
    </xf>
    <xf numFmtId="0" fontId="34" fillId="0" borderId="76" xfId="0" applyFont="1" applyBorder="1" applyAlignment="1">
      <alignment horizontal="left" vertical="center"/>
    </xf>
    <xf numFmtId="0" fontId="34" fillId="0" borderId="74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19" borderId="75" xfId="0" applyFont="1" applyFill="1" applyBorder="1" applyAlignment="1">
      <alignment horizontal="center" vertical="center"/>
    </xf>
    <xf numFmtId="0" fontId="34" fillId="3" borderId="74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8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4" fillId="25" borderId="37" xfId="0" applyFont="1" applyFill="1" applyBorder="1" applyAlignment="1">
      <alignment horizontal="center" vertical="center" wrapText="1" readingOrder="1"/>
    </xf>
    <xf numFmtId="0" fontId="34" fillId="27" borderId="38" xfId="0" applyFont="1" applyFill="1" applyBorder="1" applyAlignment="1">
      <alignment horizontal="center" vertical="center" wrapText="1" readingOrder="1"/>
    </xf>
    <xf numFmtId="0" fontId="34" fillId="27" borderId="37" xfId="0" applyFont="1" applyFill="1" applyBorder="1" applyAlignment="1">
      <alignment horizontal="center" vertical="center" wrapText="1" readingOrder="1"/>
    </xf>
    <xf numFmtId="0" fontId="34" fillId="28" borderId="38" xfId="0" applyFont="1" applyFill="1" applyBorder="1" applyAlignment="1">
      <alignment horizontal="center" vertical="center" wrapText="1" readingOrder="1"/>
    </xf>
    <xf numFmtId="0" fontId="34" fillId="28" borderId="37" xfId="0" applyFont="1" applyFill="1" applyBorder="1" applyAlignment="1">
      <alignment horizontal="center" vertical="center" wrapText="1" readingOrder="1"/>
    </xf>
    <xf numFmtId="0" fontId="34" fillId="29" borderId="38" xfId="0" applyFont="1" applyFill="1" applyBorder="1" applyAlignment="1">
      <alignment horizontal="center" vertical="center" wrapText="1" readingOrder="1"/>
    </xf>
    <xf numFmtId="0" fontId="34" fillId="28" borderId="42" xfId="0" applyFont="1" applyFill="1" applyBorder="1" applyAlignment="1">
      <alignment horizontal="center" vertical="center" wrapText="1" readingOrder="1"/>
    </xf>
    <xf numFmtId="0" fontId="34" fillId="29" borderId="42" xfId="0" applyFont="1" applyFill="1" applyBorder="1" applyAlignment="1">
      <alignment horizontal="center" vertical="center" wrapText="1" readingOrder="1"/>
    </xf>
    <xf numFmtId="0" fontId="34" fillId="29" borderId="43" xfId="0" applyFont="1" applyFill="1" applyBorder="1" applyAlignment="1">
      <alignment horizontal="center" vertical="center" wrapText="1" readingOrder="1"/>
    </xf>
    <xf numFmtId="0" fontId="34" fillId="24" borderId="56" xfId="0" applyFont="1" applyFill="1" applyBorder="1" applyAlignment="1">
      <alignment horizontal="center" vertical="center" wrapText="1" readingOrder="1"/>
    </xf>
    <xf numFmtId="0" fontId="34" fillId="25" borderId="56" xfId="0" applyFont="1" applyFill="1" applyBorder="1" applyAlignment="1">
      <alignment horizontal="center" vertical="center" wrapText="1" readingOrder="1"/>
    </xf>
    <xf numFmtId="0" fontId="34" fillId="27" borderId="56" xfId="0" applyFont="1" applyFill="1" applyBorder="1" applyAlignment="1">
      <alignment horizontal="center" vertical="center" wrapText="1" readingOrder="1"/>
    </xf>
    <xf numFmtId="0" fontId="34" fillId="28" borderId="58" xfId="0" applyFont="1" applyFill="1" applyBorder="1" applyAlignment="1">
      <alignment horizontal="center" vertical="center" wrapText="1" readingOrder="1"/>
    </xf>
    <xf numFmtId="0" fontId="34" fillId="23" borderId="54" xfId="0" applyFont="1" applyFill="1" applyBorder="1" applyAlignment="1">
      <alignment horizontal="center" vertical="center" wrapText="1" readingOrder="1"/>
    </xf>
    <xf numFmtId="0" fontId="34" fillId="23" borderId="32" xfId="0" applyFont="1" applyFill="1" applyBorder="1" applyAlignment="1">
      <alignment horizontal="center" vertical="center" wrapText="1" readingOrder="1"/>
    </xf>
    <xf numFmtId="0" fontId="34" fillId="24" borderId="32" xfId="0" applyFont="1" applyFill="1" applyBorder="1" applyAlignment="1">
      <alignment horizontal="center" vertical="center" wrapText="1" readingOrder="1"/>
    </xf>
    <xf numFmtId="0" fontId="34" fillId="24" borderId="33" xfId="0" applyFont="1" applyFill="1" applyBorder="1" applyAlignment="1">
      <alignment horizontal="center" vertical="center" wrapText="1" readingOrder="1"/>
    </xf>
    <xf numFmtId="0" fontId="32" fillId="5" borderId="64" xfId="0" applyFont="1" applyFill="1" applyBorder="1" applyAlignment="1">
      <alignment horizontal="center" vertical="center" wrapText="1" readingOrder="1"/>
    </xf>
    <xf numFmtId="0" fontId="32" fillId="5" borderId="62" xfId="0" applyFont="1" applyFill="1" applyBorder="1" applyAlignment="1">
      <alignment horizontal="center" vertical="center" wrapText="1" readingOrder="1"/>
    </xf>
    <xf numFmtId="0" fontId="32" fillId="5" borderId="63" xfId="0" applyFont="1" applyFill="1" applyBorder="1" applyAlignment="1">
      <alignment horizontal="center" vertical="center" wrapText="1" readingOrder="1"/>
    </xf>
    <xf numFmtId="167" fontId="34" fillId="19" borderId="73" xfId="0" applyNumberFormat="1" applyFont="1" applyFill="1" applyBorder="1" applyAlignment="1">
      <alignment horizontal="center" vertical="center"/>
    </xf>
    <xf numFmtId="167" fontId="34" fillId="19" borderId="36" xfId="0" applyNumberFormat="1" applyFont="1" applyFill="1" applyBorder="1" applyAlignment="1">
      <alignment horizontal="center" vertical="center"/>
    </xf>
    <xf numFmtId="167" fontId="34" fillId="19" borderId="47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1" fillId="20" borderId="10" xfId="0" applyFont="1" applyFill="1" applyBorder="1" applyAlignment="1">
      <alignment horizontal="center" vertical="center"/>
    </xf>
    <xf numFmtId="0" fontId="31" fillId="20" borderId="14" xfId="0" applyFont="1" applyFill="1" applyBorder="1" applyAlignment="1">
      <alignment horizontal="center" vertical="center"/>
    </xf>
    <xf numFmtId="0" fontId="33" fillId="5" borderId="61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vertical="center"/>
    </xf>
    <xf numFmtId="0" fontId="34" fillId="0" borderId="59" xfId="0" applyFont="1" applyFill="1" applyBorder="1" applyAlignment="1">
      <alignment vertical="center"/>
    </xf>
    <xf numFmtId="0" fontId="23" fillId="18" borderId="30" xfId="0" applyFont="1" applyFill="1" applyBorder="1" applyAlignment="1" applyProtection="1">
      <alignment horizontal="left" vertical="center"/>
      <protection locked="0"/>
    </xf>
    <xf numFmtId="0" fontId="0" fillId="0" borderId="94" xfId="0" applyBorder="1"/>
    <xf numFmtId="0" fontId="0" fillId="0" borderId="95" xfId="0" applyBorder="1"/>
    <xf numFmtId="0" fontId="0" fillId="0" borderId="96" xfId="0" applyBorder="1"/>
    <xf numFmtId="0" fontId="0" fillId="0" borderId="94" xfId="0" applyBorder="1" applyAlignment="1">
      <alignment horizontal="left"/>
    </xf>
    <xf numFmtId="0" fontId="0" fillId="0" borderId="0" xfId="0" applyAlignment="1">
      <alignment horizontal="left"/>
    </xf>
    <xf numFmtId="0" fontId="3" fillId="17" borderId="41" xfId="0" applyFont="1" applyFill="1" applyBorder="1" applyAlignment="1" applyProtection="1">
      <alignment horizontal="left" vertical="center"/>
      <protection locked="0"/>
    </xf>
    <xf numFmtId="0" fontId="4" fillId="5" borderId="4" xfId="1" quotePrefix="1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47" xfId="0" applyFont="1" applyFill="1" applyBorder="1" applyAlignment="1" applyProtection="1">
      <alignment horizontal="center" vertical="center" wrapText="1"/>
      <protection locked="0"/>
    </xf>
    <xf numFmtId="164" fontId="4" fillId="6" borderId="8" xfId="1" applyNumberFormat="1" applyFont="1" applyFill="1" applyBorder="1" applyAlignment="1">
      <alignment horizontal="center" vertical="center" wrapText="1"/>
    </xf>
    <xf numFmtId="164" fontId="4" fillId="14" borderId="8" xfId="1" applyNumberFormat="1" applyFont="1" applyFill="1" applyBorder="1" applyAlignment="1">
      <alignment horizontal="center" vertical="center" wrapText="1"/>
    </xf>
    <xf numFmtId="164" fontId="4" fillId="15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>
      <alignment horizontal="center" vertical="center" wrapText="1"/>
    </xf>
    <xf numFmtId="49" fontId="4" fillId="6" borderId="102" xfId="0" applyNumberFormat="1" applyFont="1" applyFill="1" applyBorder="1" applyAlignment="1">
      <alignment horizontal="center" vertical="center" wrapText="1"/>
    </xf>
    <xf numFmtId="49" fontId="4" fillId="7" borderId="14" xfId="0" applyNumberFormat="1" applyFont="1" applyFill="1" applyBorder="1" applyAlignment="1">
      <alignment horizontal="center" vertical="center" wrapText="1"/>
    </xf>
    <xf numFmtId="49" fontId="4" fillId="1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2" fillId="12" borderId="103" xfId="0" applyNumberFormat="1" applyFont="1" applyFill="1" applyBorder="1" applyAlignment="1">
      <alignment horizontal="center" vertical="center" wrapText="1"/>
    </xf>
    <xf numFmtId="49" fontId="4" fillId="7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4" fillId="14" borderId="102" xfId="0" applyNumberFormat="1" applyFont="1" applyFill="1" applyBorder="1" applyAlignment="1">
      <alignment horizontal="center" vertical="center" wrapText="1"/>
    </xf>
    <xf numFmtId="49" fontId="4" fillId="15" borderId="15" xfId="0" applyNumberFormat="1" applyFont="1" applyFill="1" applyBorder="1" applyAlignment="1">
      <alignment horizontal="center" vertical="center" wrapText="1"/>
    </xf>
    <xf numFmtId="49" fontId="4" fillId="16" borderId="15" xfId="0" applyNumberFormat="1" applyFont="1" applyFill="1" applyBorder="1" applyAlignment="1">
      <alignment horizontal="center" vertical="center" wrapText="1"/>
    </xf>
    <xf numFmtId="49" fontId="4" fillId="14" borderId="100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27" fillId="0" borderId="47" xfId="0" applyFont="1" applyFill="1" applyBorder="1" applyAlignment="1" applyProtection="1">
      <alignment horizontal="center" vertical="center" wrapText="1"/>
      <protection locked="0"/>
    </xf>
    <xf numFmtId="0" fontId="12" fillId="19" borderId="104" xfId="0" applyFont="1" applyFill="1" applyBorder="1" applyAlignment="1" applyProtection="1">
      <alignment horizontal="center" vertical="center" wrapText="1"/>
      <protection locked="0"/>
    </xf>
    <xf numFmtId="0" fontId="9" fillId="19" borderId="104" xfId="0" applyFont="1" applyFill="1" applyBorder="1" applyAlignment="1" applyProtection="1">
      <alignment horizontal="center" vertical="center" wrapText="1"/>
      <protection locked="0"/>
    </xf>
    <xf numFmtId="1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4" xfId="0" applyBorder="1"/>
    <xf numFmtId="0" fontId="23" fillId="18" borderId="30" xfId="0" applyFont="1" applyFill="1" applyBorder="1" applyAlignment="1" applyProtection="1">
      <alignment horizontal="left" vertical="center"/>
      <protection locked="0"/>
    </xf>
    <xf numFmtId="0" fontId="44" fillId="19" borderId="104" xfId="0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1" xfId="0" quotePrefix="1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4" borderId="4" xfId="0" quotePrefix="1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9" borderId="9" xfId="0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4" fillId="5" borderId="4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4" fillId="3" borderId="13" xfId="0" quotePrefix="1" applyNumberFormat="1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7" xfId="0" quotePrefix="1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7" fillId="19" borderId="104" xfId="0" applyFont="1" applyFill="1" applyBorder="1" applyAlignment="1" applyProtection="1">
      <alignment horizontal="center" vertical="center" wrapText="1"/>
      <protection locked="0"/>
    </xf>
    <xf numFmtId="0" fontId="17" fillId="0" borderId="94" xfId="0" applyFont="1" applyFill="1" applyBorder="1" applyAlignment="1" applyProtection="1">
      <alignment horizontal="center" vertical="center" wrapText="1"/>
      <protection locked="0"/>
    </xf>
    <xf numFmtId="0" fontId="12" fillId="0" borderId="94" xfId="0" applyFont="1" applyFill="1" applyBorder="1" applyAlignment="1" applyProtection="1">
      <alignment horizontal="center" vertical="center" wrapText="1"/>
      <protection locked="0"/>
    </xf>
    <xf numFmtId="0" fontId="48" fillId="31" borderId="109" xfId="0" applyFont="1" applyFill="1" applyBorder="1" applyAlignment="1" applyProtection="1">
      <alignment horizontal="center" vertical="center"/>
      <protection locked="0"/>
    </xf>
    <xf numFmtId="1" fontId="49" fillId="31" borderId="1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23" fillId="18" borderId="30" xfId="0" applyFont="1" applyFill="1" applyBorder="1" applyAlignment="1" applyProtection="1">
      <alignment horizontal="left" vertical="center"/>
      <protection locked="0"/>
    </xf>
    <xf numFmtId="49" fontId="4" fillId="5" borderId="3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8" fillId="19" borderId="105" xfId="0" applyFont="1" applyFill="1" applyBorder="1" applyAlignment="1" applyProtection="1">
      <alignment horizontal="center" vertical="center" wrapText="1"/>
      <protection locked="0"/>
    </xf>
    <xf numFmtId="0" fontId="18" fillId="19" borderId="104" xfId="0" applyFont="1" applyFill="1" applyBorder="1" applyAlignment="1" applyProtection="1">
      <alignment horizontal="center" vertical="center" wrapText="1"/>
      <protection locked="0"/>
    </xf>
    <xf numFmtId="0" fontId="27" fillId="0" borderId="115" xfId="0" applyFont="1" applyFill="1" applyBorder="1" applyAlignment="1" applyProtection="1">
      <alignment horizontal="center" vertical="center" wrapText="1"/>
      <protection locked="0"/>
    </xf>
    <xf numFmtId="0" fontId="27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1" fontId="27" fillId="0" borderId="116" xfId="0" applyNumberFormat="1" applyFont="1" applyFill="1" applyBorder="1" applyAlignment="1" applyProtection="1">
      <alignment horizontal="center" vertical="center" wrapText="1"/>
      <protection locked="0"/>
    </xf>
    <xf numFmtId="0" fontId="13" fillId="19" borderId="118" xfId="0" applyFont="1" applyFill="1" applyBorder="1" applyAlignment="1" applyProtection="1">
      <alignment horizontal="center" vertical="center"/>
      <protection locked="0"/>
    </xf>
    <xf numFmtId="1" fontId="49" fillId="31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Border="1"/>
    <xf numFmtId="0" fontId="23" fillId="18" borderId="30" xfId="0" applyFont="1" applyFill="1" applyBorder="1" applyAlignment="1" applyProtection="1">
      <alignment horizontal="left" vertical="center"/>
      <protection locked="0"/>
    </xf>
    <xf numFmtId="0" fontId="51" fillId="0" borderId="94" xfId="0" applyFont="1" applyFill="1" applyBorder="1" applyAlignment="1" applyProtection="1">
      <alignment horizontal="center" vertical="center" wrapText="1"/>
      <protection locked="0"/>
    </xf>
    <xf numFmtId="0" fontId="50" fillId="0" borderId="0" xfId="0" applyFont="1"/>
    <xf numFmtId="0" fontId="53" fillId="0" borderId="94" xfId="0" applyFont="1" applyFill="1" applyBorder="1" applyAlignment="1" applyProtection="1">
      <alignment horizontal="center" vertical="center" wrapText="1"/>
      <protection locked="0"/>
    </xf>
    <xf numFmtId="0" fontId="21" fillId="30" borderId="40" xfId="0" applyFont="1" applyFill="1" applyBorder="1" applyAlignment="1" applyProtection="1">
      <alignment horizontal="center" vertical="center"/>
      <protection locked="0"/>
    </xf>
    <xf numFmtId="0" fontId="27" fillId="30" borderId="42" xfId="0" applyFont="1" applyFill="1" applyBorder="1" applyAlignment="1" applyProtection="1">
      <alignment horizontal="center" vertical="center" wrapText="1"/>
      <protection locked="0"/>
    </xf>
    <xf numFmtId="0" fontId="27" fillId="30" borderId="115" xfId="0" applyFont="1" applyFill="1" applyBorder="1" applyAlignment="1" applyProtection="1">
      <alignment horizontal="center" vertical="center" wrapText="1"/>
      <protection locked="0"/>
    </xf>
    <xf numFmtId="0" fontId="13" fillId="30" borderId="31" xfId="0" applyFont="1" applyFill="1" applyBorder="1" applyAlignment="1" applyProtection="1">
      <alignment horizontal="center" vertical="center"/>
      <protection locked="0"/>
    </xf>
    <xf numFmtId="0" fontId="13" fillId="30" borderId="32" xfId="0" applyFont="1" applyFill="1" applyBorder="1" applyAlignment="1" applyProtection="1">
      <alignment horizontal="center" vertical="center"/>
      <protection locked="0"/>
    </xf>
    <xf numFmtId="0" fontId="13" fillId="30" borderId="118" xfId="0" applyFont="1" applyFill="1" applyBorder="1" applyAlignment="1" applyProtection="1">
      <alignment horizontal="center" vertical="center"/>
      <protection locked="0"/>
    </xf>
    <xf numFmtId="0" fontId="54" fillId="32" borderId="104" xfId="0" applyFont="1" applyFill="1" applyBorder="1" applyAlignment="1" applyProtection="1">
      <alignment horizontal="center" vertical="center" wrapText="1"/>
      <protection locked="0"/>
    </xf>
    <xf numFmtId="0" fontId="54" fillId="32" borderId="10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" fontId="27" fillId="30" borderId="47" xfId="0" applyNumberFormat="1" applyFont="1" applyFill="1" applyBorder="1" applyAlignment="1" applyProtection="1">
      <alignment horizontal="center" vertical="center" wrapText="1"/>
    </xf>
    <xf numFmtId="1" fontId="27" fillId="30" borderId="116" xfId="0" applyNumberFormat="1" applyFont="1" applyFill="1" applyBorder="1" applyAlignment="1" applyProtection="1">
      <alignment horizontal="center" vertical="center" wrapText="1"/>
    </xf>
    <xf numFmtId="0" fontId="53" fillId="30" borderId="94" xfId="0" applyFont="1" applyFill="1" applyBorder="1" applyAlignment="1" applyProtection="1">
      <alignment horizontal="center" vertical="center" wrapText="1"/>
    </xf>
    <xf numFmtId="0" fontId="14" fillId="30" borderId="39" xfId="0" applyFont="1" applyFill="1" applyBorder="1" applyAlignment="1" applyProtection="1">
      <alignment horizontal="center" vertical="center"/>
    </xf>
    <xf numFmtId="1" fontId="49" fillId="31" borderId="110" xfId="0" applyNumberFormat="1" applyFont="1" applyFill="1" applyBorder="1" applyAlignment="1" applyProtection="1">
      <alignment horizontal="center" vertical="center" wrapText="1"/>
    </xf>
    <xf numFmtId="1" fontId="49" fillId="31" borderId="121" xfId="0" applyNumberFormat="1" applyFont="1" applyFill="1" applyBorder="1" applyAlignment="1" applyProtection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164" fontId="4" fillId="12" borderId="29" xfId="1" applyNumberFormat="1" applyFont="1" applyFill="1" applyBorder="1" applyAlignment="1">
      <alignment horizontal="center" vertical="center" wrapText="1"/>
    </xf>
    <xf numFmtId="49" fontId="4" fillId="12" borderId="0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164" fontId="4" fillId="35" borderId="4" xfId="1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0" fontId="4" fillId="39" borderId="98" xfId="0" applyNumberFormat="1" applyFont="1" applyFill="1" applyBorder="1" applyAlignment="1">
      <alignment horizontal="center" vertical="center" wrapText="1"/>
    </xf>
    <xf numFmtId="0" fontId="4" fillId="39" borderId="97" xfId="0" applyNumberFormat="1" applyFont="1" applyFill="1" applyBorder="1" applyAlignment="1">
      <alignment horizontal="center" vertical="center" wrapText="1"/>
    </xf>
    <xf numFmtId="0" fontId="4" fillId="39" borderId="9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64" fontId="2" fillId="34" borderId="5" xfId="1" applyNumberFormat="1" applyFont="1" applyFill="1" applyBorder="1" applyAlignment="1">
      <alignment horizontal="center" vertical="center" wrapText="1"/>
    </xf>
    <xf numFmtId="0" fontId="2" fillId="34" borderId="101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164" fontId="4" fillId="36" borderId="7" xfId="1" applyNumberFormat="1" applyFont="1" applyFill="1" applyBorder="1" applyAlignment="1">
      <alignment horizontal="center" vertical="center" wrapText="1"/>
    </xf>
    <xf numFmtId="49" fontId="4" fillId="36" borderId="102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164" fontId="4" fillId="40" borderId="29" xfId="1" applyNumberFormat="1" applyFont="1" applyFill="1" applyBorder="1" applyAlignment="1">
      <alignment horizontal="center" vertical="center" wrapText="1"/>
    </xf>
    <xf numFmtId="49" fontId="4" fillId="40" borderId="0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164" fontId="4" fillId="33" borderId="1" xfId="1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164" fontId="4" fillId="37" borderId="4" xfId="1" applyNumberFormat="1" applyFont="1" applyFill="1" applyBorder="1" applyAlignment="1">
      <alignment horizontal="center"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4" fillId="39" borderId="97" xfId="0" quotePrefix="1" applyNumberFormat="1" applyFont="1" applyFill="1" applyBorder="1" applyAlignment="1">
      <alignment horizontal="center" vertical="center" wrapText="1"/>
    </xf>
    <xf numFmtId="0" fontId="4" fillId="39" borderId="98" xfId="0" quotePrefix="1" applyNumberFormat="1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12" borderId="125" xfId="0" applyFont="1" applyFill="1" applyBorder="1" applyAlignment="1">
      <alignment horizontal="center" vertical="center" wrapText="1"/>
    </xf>
    <xf numFmtId="164" fontId="4" fillId="12" borderId="9" xfId="1" applyNumberFormat="1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12" borderId="126" xfId="0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164" fontId="4" fillId="16" borderId="22" xfId="1" applyNumberFormat="1" applyFont="1" applyFill="1" applyBorder="1" applyAlignment="1">
      <alignment horizontal="center" vertical="center" wrapText="1"/>
    </xf>
    <xf numFmtId="0" fontId="4" fillId="16" borderId="50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7" borderId="127" xfId="0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0" fontId="4" fillId="5" borderId="3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4" fillId="5" borderId="1" xfId="1" quotePrefix="1" applyNumberFormat="1" applyFont="1" applyFill="1" applyBorder="1" applyAlignment="1">
      <alignment horizontal="center" vertical="center" wrapText="1"/>
    </xf>
    <xf numFmtId="0" fontId="4" fillId="5" borderId="10" xfId="1" applyNumberFormat="1" applyFont="1" applyFill="1" applyBorder="1" applyAlignment="1">
      <alignment horizontal="center" vertical="center" wrapText="1"/>
    </xf>
    <xf numFmtId="0" fontId="4" fillId="3" borderId="98" xfId="0" applyNumberFormat="1" applyFont="1" applyFill="1" applyBorder="1" applyAlignment="1">
      <alignment horizontal="center" vertical="center" wrapText="1"/>
    </xf>
    <xf numFmtId="0" fontId="4" fillId="3" borderId="97" xfId="0" quotePrefix="1" applyNumberFormat="1" applyFont="1" applyFill="1" applyBorder="1" applyAlignment="1">
      <alignment horizontal="center" vertical="center" wrapText="1"/>
    </xf>
    <xf numFmtId="0" fontId="4" fillId="3" borderId="99" xfId="0" applyNumberFormat="1" applyFont="1" applyFill="1" applyBorder="1" applyAlignment="1">
      <alignment horizontal="center" vertical="center" wrapText="1"/>
    </xf>
    <xf numFmtId="0" fontId="4" fillId="37" borderId="127" xfId="0" applyFont="1" applyFill="1" applyBorder="1" applyAlignment="1">
      <alignment horizontal="center" vertical="center" wrapText="1"/>
    </xf>
    <xf numFmtId="164" fontId="4" fillId="37" borderId="1" xfId="1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0" fontId="4" fillId="36" borderId="129" xfId="0" applyFont="1" applyFill="1" applyBorder="1" applyAlignment="1">
      <alignment horizontal="center" vertical="center" wrapText="1"/>
    </xf>
    <xf numFmtId="164" fontId="4" fillId="36" borderId="97" xfId="1" applyNumberFormat="1" applyFont="1" applyFill="1" applyBorder="1" applyAlignment="1">
      <alignment horizontal="center" vertical="center" wrapText="1"/>
    </xf>
    <xf numFmtId="49" fontId="4" fillId="36" borderId="130" xfId="0" applyNumberFormat="1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center" vertical="center" wrapText="1"/>
    </xf>
    <xf numFmtId="164" fontId="4" fillId="40" borderId="9" xfId="1" applyNumberFormat="1" applyFont="1" applyFill="1" applyBorder="1" applyAlignment="1">
      <alignment horizontal="center" vertical="center" wrapText="1"/>
    </xf>
    <xf numFmtId="49" fontId="4" fillId="40" borderId="11" xfId="0" applyNumberFormat="1" applyFont="1" applyFill="1" applyBorder="1" applyAlignment="1">
      <alignment horizontal="center" vertical="center" wrapText="1"/>
    </xf>
    <xf numFmtId="0" fontId="4" fillId="40" borderId="125" xfId="0" applyFont="1" applyFill="1" applyBorder="1" applyAlignment="1">
      <alignment horizontal="center" vertical="center" wrapText="1"/>
    </xf>
    <xf numFmtId="164" fontId="4" fillId="40" borderId="2" xfId="1" applyNumberFormat="1" applyFont="1" applyFill="1" applyBorder="1" applyAlignment="1">
      <alignment horizontal="center" vertical="center" wrapText="1"/>
    </xf>
    <xf numFmtId="49" fontId="4" fillId="40" borderId="103" xfId="0" applyNumberFormat="1" applyFont="1" applyFill="1" applyBorder="1" applyAlignment="1">
      <alignment horizontal="center" vertical="center" wrapText="1"/>
    </xf>
    <xf numFmtId="0" fontId="4" fillId="39" borderId="131" xfId="0" applyNumberFormat="1" applyFont="1" applyFill="1" applyBorder="1" applyAlignment="1">
      <alignment horizontal="center" vertical="center" wrapText="1"/>
    </xf>
    <xf numFmtId="0" fontId="4" fillId="39" borderId="2" xfId="0" applyNumberFormat="1" applyFont="1" applyFill="1" applyBorder="1" applyAlignment="1">
      <alignment horizontal="center" vertical="center" wrapText="1"/>
    </xf>
    <xf numFmtId="0" fontId="23" fillId="18" borderId="30" xfId="0" applyFont="1" applyFill="1" applyBorder="1" applyAlignment="1" applyProtection="1">
      <alignment horizontal="left" vertical="center"/>
      <protection locked="0"/>
    </xf>
    <xf numFmtId="0" fontId="23" fillId="18" borderId="119" xfId="0" applyFont="1" applyFill="1" applyBorder="1" applyAlignment="1" applyProtection="1">
      <alignment horizontal="left" vertical="center"/>
      <protection locked="0"/>
    </xf>
    <xf numFmtId="0" fontId="22" fillId="20" borderId="48" xfId="0" applyFont="1" applyFill="1" applyBorder="1" applyAlignment="1" applyProtection="1">
      <alignment horizontal="left" vertical="center"/>
      <protection locked="0"/>
    </xf>
    <xf numFmtId="0" fontId="22" fillId="20" borderId="120" xfId="0" applyFont="1" applyFill="1" applyBorder="1" applyAlignment="1" applyProtection="1">
      <alignment horizontal="left" vertical="center"/>
      <protection locked="0"/>
    </xf>
    <xf numFmtId="0" fontId="3" fillId="17" borderId="35" xfId="0" applyFont="1" applyFill="1" applyBorder="1" applyAlignment="1" applyProtection="1">
      <alignment horizontal="left" vertical="center"/>
      <protection locked="0"/>
    </xf>
    <xf numFmtId="0" fontId="3" fillId="17" borderId="117" xfId="0" applyFont="1" applyFill="1" applyBorder="1" applyAlignment="1" applyProtection="1">
      <alignment horizontal="left" vertical="center"/>
      <protection locked="0"/>
    </xf>
    <xf numFmtId="0" fontId="52" fillId="30" borderId="94" xfId="0" applyFont="1" applyFill="1" applyBorder="1" applyAlignment="1">
      <alignment horizontal="center" vertical="center"/>
    </xf>
    <xf numFmtId="0" fontId="3" fillId="17" borderId="35" xfId="0" applyFont="1" applyFill="1" applyBorder="1" applyAlignment="1" applyProtection="1">
      <alignment horizontal="center" vertical="center"/>
      <protection locked="0"/>
    </xf>
    <xf numFmtId="0" fontId="3" fillId="17" borderId="117" xfId="0" applyFont="1" applyFill="1" applyBorder="1" applyAlignment="1" applyProtection="1">
      <alignment horizontal="center" vertical="center"/>
      <protection locked="0"/>
    </xf>
    <xf numFmtId="0" fontId="45" fillId="20" borderId="105" xfId="0" applyFont="1" applyFill="1" applyBorder="1" applyAlignment="1" applyProtection="1">
      <alignment horizontal="center" vertical="center" wrapText="1"/>
      <protection locked="0"/>
    </xf>
    <xf numFmtId="0" fontId="45" fillId="20" borderId="106" xfId="0" applyFont="1" applyFill="1" applyBorder="1" applyAlignment="1" applyProtection="1">
      <alignment horizontal="center" vertical="center" wrapText="1"/>
      <protection locked="0"/>
    </xf>
    <xf numFmtId="0" fontId="45" fillId="20" borderId="107" xfId="0" applyFont="1" applyFill="1" applyBorder="1" applyAlignment="1" applyProtection="1">
      <alignment horizontal="center" vertical="center" wrapText="1"/>
      <protection locked="0"/>
    </xf>
    <xf numFmtId="0" fontId="46" fillId="20" borderId="108" xfId="0" applyFont="1" applyFill="1" applyBorder="1" applyAlignment="1" applyProtection="1">
      <alignment horizontal="center" vertical="center" wrapText="1"/>
      <protection locked="0"/>
    </xf>
    <xf numFmtId="0" fontId="10" fillId="19" borderId="105" xfId="0" applyFont="1" applyFill="1" applyBorder="1" applyAlignment="1" applyProtection="1">
      <alignment horizontal="center" vertical="center" wrapText="1"/>
      <protection locked="0"/>
    </xf>
    <xf numFmtId="0" fontId="10" fillId="19" borderId="106" xfId="0" applyFont="1" applyFill="1" applyBorder="1" applyAlignment="1" applyProtection="1">
      <alignment horizontal="center" vertical="center" wrapText="1"/>
      <protection locked="0"/>
    </xf>
    <xf numFmtId="0" fontId="10" fillId="19" borderId="107" xfId="0" applyFont="1" applyFill="1" applyBorder="1" applyAlignment="1" applyProtection="1">
      <alignment horizontal="center" vertical="center" wrapText="1"/>
      <protection locked="0"/>
    </xf>
    <xf numFmtId="0" fontId="10" fillId="19" borderId="112" xfId="0" applyFont="1" applyFill="1" applyBorder="1" applyAlignment="1" applyProtection="1">
      <alignment horizontal="center" vertical="center" wrapText="1"/>
      <protection locked="0"/>
    </xf>
    <xf numFmtId="0" fontId="10" fillId="19" borderId="113" xfId="0" applyFont="1" applyFill="1" applyBorder="1" applyAlignment="1" applyProtection="1">
      <alignment horizontal="center" vertical="center" wrapText="1"/>
      <protection locked="0"/>
    </xf>
    <xf numFmtId="0" fontId="10" fillId="19" borderId="114" xfId="0" applyFont="1" applyFill="1" applyBorder="1" applyAlignment="1" applyProtection="1">
      <alignment horizontal="center" vertical="center" wrapText="1"/>
      <protection locked="0"/>
    </xf>
    <xf numFmtId="0" fontId="0" fillId="30" borderId="0" xfId="0" applyFill="1" applyAlignment="1">
      <alignment horizontal="center" vertical="center"/>
    </xf>
    <xf numFmtId="0" fontId="3" fillId="17" borderId="46" xfId="0" applyFont="1" applyFill="1" applyBorder="1" applyAlignment="1" applyProtection="1">
      <alignment horizontal="left" vertical="center"/>
      <protection locked="0"/>
    </xf>
    <xf numFmtId="0" fontId="0" fillId="30" borderId="41" xfId="0" applyFill="1" applyBorder="1" applyAlignment="1">
      <alignment horizontal="center" vertical="center"/>
    </xf>
    <xf numFmtId="0" fontId="10" fillId="30" borderId="105" xfId="0" applyFont="1" applyFill="1" applyBorder="1" applyAlignment="1" applyProtection="1">
      <alignment horizontal="center" vertical="center" wrapText="1"/>
    </xf>
    <xf numFmtId="0" fontId="10" fillId="30" borderId="106" xfId="0" applyFont="1" applyFill="1" applyBorder="1" applyAlignment="1" applyProtection="1">
      <alignment horizontal="center" vertical="center" wrapText="1"/>
    </xf>
    <xf numFmtId="0" fontId="10" fillId="30" borderId="107" xfId="0" applyFont="1" applyFill="1" applyBorder="1" applyAlignment="1" applyProtection="1">
      <alignment horizontal="center" vertical="center" wrapText="1"/>
    </xf>
    <xf numFmtId="0" fontId="10" fillId="30" borderId="112" xfId="0" applyFont="1" applyFill="1" applyBorder="1" applyAlignment="1" applyProtection="1">
      <alignment horizontal="center" vertical="center" wrapText="1"/>
    </xf>
    <xf numFmtId="0" fontId="10" fillId="30" borderId="113" xfId="0" applyFont="1" applyFill="1" applyBorder="1" applyAlignment="1" applyProtection="1">
      <alignment horizontal="center" vertical="center" wrapText="1"/>
    </xf>
    <xf numFmtId="0" fontId="10" fillId="30" borderId="114" xfId="0" applyFont="1" applyFill="1" applyBorder="1" applyAlignment="1" applyProtection="1">
      <alignment horizontal="center" vertical="center" wrapText="1"/>
    </xf>
    <xf numFmtId="0" fontId="0" fillId="30" borderId="94" xfId="0" applyFill="1" applyBorder="1" applyAlignment="1">
      <alignment horizontal="center" vertical="center"/>
    </xf>
    <xf numFmtId="0" fontId="47" fillId="19" borderId="105" xfId="0" applyFont="1" applyFill="1" applyBorder="1" applyAlignment="1" applyProtection="1">
      <alignment horizontal="center" vertical="center" wrapText="1"/>
      <protection locked="0"/>
    </xf>
    <xf numFmtId="0" fontId="47" fillId="19" borderId="106" xfId="0" applyFont="1" applyFill="1" applyBorder="1" applyAlignment="1" applyProtection="1">
      <alignment horizontal="center" vertical="center" wrapText="1"/>
      <protection locked="0"/>
    </xf>
    <xf numFmtId="0" fontId="47" fillId="19" borderId="107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" fillId="11" borderId="128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25" xfId="0" applyFont="1" applyFill="1" applyBorder="1" applyAlignment="1">
      <alignment horizontal="center" vertical="center" wrapText="1"/>
    </xf>
    <xf numFmtId="0" fontId="1" fillId="38" borderId="128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124" xfId="0" applyFont="1" applyFill="1" applyBorder="1" applyAlignment="1">
      <alignment horizontal="center" vertical="center" wrapText="1"/>
    </xf>
    <xf numFmtId="0" fontId="1" fillId="38" borderId="10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3" fillId="34" borderId="18" xfId="0" applyFont="1" applyFill="1" applyBorder="1" applyAlignment="1">
      <alignment horizontal="center" vertical="center" textRotation="90" wrapText="1"/>
    </xf>
    <xf numFmtId="0" fontId="3" fillId="12" borderId="15" xfId="0" applyFont="1" applyFill="1" applyBorder="1" applyAlignment="1">
      <alignment horizontal="center" vertical="center" textRotation="90" wrapText="1"/>
    </xf>
    <xf numFmtId="0" fontId="3" fillId="12" borderId="0" xfId="0" applyFont="1" applyFill="1" applyBorder="1" applyAlignment="1">
      <alignment horizontal="center" vertical="center" textRotation="90" wrapText="1"/>
    </xf>
    <xf numFmtId="0" fontId="0" fillId="20" borderId="94" xfId="0" applyFill="1" applyBorder="1" applyAlignment="1">
      <alignment horizontal="center" vertical="center"/>
    </xf>
    <xf numFmtId="0" fontId="0" fillId="20" borderId="122" xfId="0" applyFill="1" applyBorder="1" applyAlignment="1">
      <alignment horizontal="center" vertical="center"/>
    </xf>
    <xf numFmtId="0" fontId="0" fillId="20" borderId="123" xfId="0" applyFill="1" applyBorder="1" applyAlignment="1">
      <alignment horizontal="center" vertical="center"/>
    </xf>
    <xf numFmtId="0" fontId="6" fillId="26" borderId="51" xfId="0" applyFont="1" applyFill="1" applyBorder="1" applyAlignment="1">
      <alignment horizontal="center" vertical="center"/>
    </xf>
    <xf numFmtId="0" fontId="6" fillId="26" borderId="52" xfId="0" applyFont="1" applyFill="1" applyBorder="1" applyAlignment="1">
      <alignment horizontal="center" vertical="center"/>
    </xf>
    <xf numFmtId="0" fontId="6" fillId="26" borderId="53" xfId="0" applyFont="1" applyFill="1" applyBorder="1" applyAlignment="1">
      <alignment horizontal="center" vertical="center"/>
    </xf>
    <xf numFmtId="0" fontId="23" fillId="9" borderId="86" xfId="0" applyFont="1" applyFill="1" applyBorder="1" applyAlignment="1">
      <alignment horizontal="left" vertical="center"/>
    </xf>
    <xf numFmtId="0" fontId="23" fillId="9" borderId="87" xfId="0" applyFont="1" applyFill="1" applyBorder="1" applyAlignment="1">
      <alignment horizontal="left" vertical="center"/>
    </xf>
    <xf numFmtId="0" fontId="23" fillId="9" borderId="88" xfId="0" applyFont="1" applyFill="1" applyBorder="1" applyAlignment="1">
      <alignment horizontal="left" vertical="center"/>
    </xf>
    <xf numFmtId="0" fontId="23" fillId="9" borderId="60" xfId="0" applyFont="1" applyFill="1" applyBorder="1" applyAlignment="1">
      <alignment horizontal="left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/>
    </xf>
    <xf numFmtId="0" fontId="3" fillId="9" borderId="55" xfId="0" applyFont="1" applyFill="1" applyBorder="1" applyAlignment="1">
      <alignment horizontal="center" vertical="center"/>
    </xf>
    <xf numFmtId="0" fontId="34" fillId="22" borderId="92" xfId="0" applyFont="1" applyFill="1" applyBorder="1" applyAlignment="1">
      <alignment horizontal="center" vertical="center" wrapText="1"/>
    </xf>
    <xf numFmtId="0" fontId="34" fillId="22" borderId="80" xfId="0" applyFont="1" applyFill="1" applyBorder="1" applyAlignment="1">
      <alignment horizontal="center" vertical="center" wrapText="1"/>
    </xf>
    <xf numFmtId="0" fontId="34" fillId="0" borderId="93" xfId="0" applyFont="1" applyFill="1" applyBorder="1" applyAlignment="1">
      <alignment horizontal="center" vertical="center" wrapText="1"/>
    </xf>
    <xf numFmtId="0" fontId="34" fillId="0" borderId="8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right" vertical="center"/>
    </xf>
    <xf numFmtId="0" fontId="3" fillId="9" borderId="69" xfId="0" applyFont="1" applyFill="1" applyBorder="1" applyAlignment="1">
      <alignment horizontal="right" vertical="center"/>
    </xf>
    <xf numFmtId="0" fontId="3" fillId="9" borderId="70" xfId="0" applyFont="1" applyFill="1" applyBorder="1" applyAlignment="1">
      <alignment horizontal="right" vertical="center"/>
    </xf>
    <xf numFmtId="0" fontId="33" fillId="5" borderId="61" xfId="0" applyFont="1" applyFill="1" applyBorder="1" applyAlignment="1">
      <alignment horizontal="center" vertical="center" wrapText="1"/>
    </xf>
    <xf numFmtId="0" fontId="33" fillId="5" borderId="62" xfId="0" applyFont="1" applyFill="1" applyBorder="1" applyAlignment="1">
      <alignment horizontal="center" vertical="center" wrapText="1"/>
    </xf>
    <xf numFmtId="0" fontId="34" fillId="22" borderId="31" xfId="0" applyFont="1" applyFill="1" applyBorder="1" applyAlignment="1">
      <alignment horizontal="center" vertical="center" textRotation="90" wrapText="1"/>
    </xf>
    <xf numFmtId="0" fontId="34" fillId="22" borderId="36" xfId="0" applyFont="1" applyFill="1" applyBorder="1" applyAlignment="1">
      <alignment horizontal="center" vertical="center" textRotation="90" wrapText="1"/>
    </xf>
    <xf numFmtId="0" fontId="34" fillId="22" borderId="47" xfId="0" applyFont="1" applyFill="1" applyBorder="1" applyAlignment="1">
      <alignment horizontal="center" vertical="center" textRotation="90" wrapText="1"/>
    </xf>
    <xf numFmtId="0" fontId="34" fillId="22" borderId="73" xfId="0" applyFont="1" applyFill="1" applyBorder="1" applyAlignment="1">
      <alignment horizontal="center" vertical="center" textRotation="90" wrapText="1"/>
    </xf>
    <xf numFmtId="0" fontId="34" fillId="22" borderId="61" xfId="0" applyFont="1" applyFill="1" applyBorder="1" applyAlignment="1">
      <alignment horizontal="center" vertical="center" textRotation="90" wrapText="1"/>
    </xf>
    <xf numFmtId="0" fontId="34" fillId="0" borderId="92" xfId="0" applyFont="1" applyFill="1" applyBorder="1" applyAlignment="1">
      <alignment horizontal="center" vertical="center" wrapText="1"/>
    </xf>
    <xf numFmtId="167" fontId="3" fillId="9" borderId="71" xfId="0" applyNumberFormat="1" applyFont="1" applyFill="1" applyBorder="1" applyAlignment="1">
      <alignment horizontal="center" vertical="center"/>
    </xf>
    <xf numFmtId="167" fontId="3" fillId="9" borderId="72" xfId="0" applyNumberFormat="1" applyFont="1" applyFill="1" applyBorder="1" applyAlignment="1">
      <alignment horizontal="center" vertical="center"/>
    </xf>
    <xf numFmtId="167" fontId="3" fillId="9" borderId="67" xfId="0" applyNumberFormat="1" applyFont="1" applyFill="1" applyBorder="1" applyAlignment="1">
      <alignment horizontal="center" vertical="center"/>
    </xf>
    <xf numFmtId="0" fontId="34" fillId="0" borderId="35" xfId="0" applyFont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32" fillId="9" borderId="54" xfId="0" applyFont="1" applyFill="1" applyBorder="1" applyAlignment="1">
      <alignment horizontal="center" vertical="center" wrapText="1" readingOrder="1"/>
    </xf>
    <xf numFmtId="0" fontId="32" fillId="9" borderId="32" xfId="0" applyFont="1" applyFill="1" applyBorder="1" applyAlignment="1">
      <alignment horizontal="center" vertical="center" wrapText="1" readingOrder="1"/>
    </xf>
    <xf numFmtId="0" fontId="32" fillId="9" borderId="33" xfId="0" applyFont="1" applyFill="1" applyBorder="1" applyAlignment="1">
      <alignment horizontal="center" vertical="center" wrapText="1" readingOrder="1"/>
    </xf>
    <xf numFmtId="0" fontId="34" fillId="22" borderId="36" xfId="0" applyFont="1" applyFill="1" applyBorder="1" applyAlignment="1">
      <alignment horizontal="left" vertical="center" wrapText="1" readingOrder="1"/>
    </xf>
    <xf numFmtId="0" fontId="34" fillId="22" borderId="37" xfId="0" applyFont="1" applyFill="1" applyBorder="1" applyAlignment="1">
      <alignment horizontal="left" vertical="center" wrapText="1" readingOrder="1"/>
    </xf>
    <xf numFmtId="0" fontId="34" fillId="22" borderId="38" xfId="0" applyFont="1" applyFill="1" applyBorder="1" applyAlignment="1">
      <alignment horizontal="left" vertical="center" wrapText="1" readingOrder="1"/>
    </xf>
    <xf numFmtId="0" fontId="34" fillId="22" borderId="47" xfId="0" applyFont="1" applyFill="1" applyBorder="1" applyAlignment="1">
      <alignment horizontal="left" vertical="center" wrapText="1" readingOrder="1"/>
    </xf>
    <xf numFmtId="0" fontId="34" fillId="22" borderId="42" xfId="0" applyFont="1" applyFill="1" applyBorder="1" applyAlignment="1">
      <alignment horizontal="left" vertical="center" wrapText="1" readingOrder="1"/>
    </xf>
    <xf numFmtId="0" fontId="34" fillId="22" borderId="43" xfId="0" applyFont="1" applyFill="1" applyBorder="1" applyAlignment="1">
      <alignment horizontal="left" vertical="center" wrapText="1" readingOrder="1"/>
    </xf>
    <xf numFmtId="0" fontId="32" fillId="5" borderId="61" xfId="0" applyFont="1" applyFill="1" applyBorder="1" applyAlignment="1">
      <alignment horizontal="left" vertical="center" wrapText="1" readingOrder="1"/>
    </xf>
    <xf numFmtId="0" fontId="32" fillId="5" borderId="62" xfId="0" applyFont="1" applyFill="1" applyBorder="1" applyAlignment="1">
      <alignment horizontal="left" vertical="center" wrapText="1" readingOrder="1"/>
    </xf>
    <xf numFmtId="0" fontId="32" fillId="5" borderId="63" xfId="0" applyFont="1" applyFill="1" applyBorder="1" applyAlignment="1">
      <alignment horizontal="left" vertical="center" wrapText="1" readingOrder="1"/>
    </xf>
    <xf numFmtId="0" fontId="34" fillId="0" borderId="89" xfId="0" applyFont="1" applyBorder="1" applyAlignment="1">
      <alignment horizontal="left" vertical="center"/>
    </xf>
    <xf numFmtId="0" fontId="34" fillId="0" borderId="73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4" fillId="0" borderId="47" xfId="0" applyFont="1" applyBorder="1" applyAlignment="1">
      <alignment horizontal="left" vertical="center"/>
    </xf>
    <xf numFmtId="0" fontId="2" fillId="9" borderId="46" xfId="0" applyFont="1" applyFill="1" applyBorder="1" applyAlignment="1">
      <alignment horizontal="center" vertical="center" wrapText="1"/>
    </xf>
    <xf numFmtId="0" fontId="2" fillId="9" borderId="81" xfId="0" applyFont="1" applyFill="1" applyBorder="1" applyAlignment="1">
      <alignment horizontal="center" vertical="center" wrapText="1"/>
    </xf>
    <xf numFmtId="0" fontId="8" fillId="9" borderId="60" xfId="0" applyFont="1" applyFill="1" applyBorder="1" applyAlignment="1">
      <alignment horizontal="center" vertical="center" wrapText="1"/>
    </xf>
    <xf numFmtId="0" fontId="8" fillId="9" borderId="86" xfId="0" applyFont="1" applyFill="1" applyBorder="1" applyAlignment="1">
      <alignment horizontal="center" vertical="center" wrapText="1"/>
    </xf>
    <xf numFmtId="0" fontId="34" fillId="22" borderId="31" xfId="0" applyFont="1" applyFill="1" applyBorder="1" applyAlignment="1">
      <alignment horizontal="left" vertical="center" wrapText="1" readingOrder="1"/>
    </xf>
    <xf numFmtId="0" fontId="34" fillId="22" borderId="32" xfId="0" applyFont="1" applyFill="1" applyBorder="1" applyAlignment="1">
      <alignment horizontal="left" vertical="center" wrapText="1" readingOrder="1"/>
    </xf>
    <xf numFmtId="0" fontId="34" fillId="22" borderId="33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Percent" xfId="1" builtinId="5"/>
  </cellStyles>
  <dxfs count="641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ill>
        <patternFill patternType="darkGray">
          <fgColor auto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ill>
        <patternFill patternType="darkGray">
          <fgColor auto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strike val="0"/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ill>
        <patternFill patternType="darkGray">
          <fgColor auto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1" tint="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strike val="0"/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ill>
        <patternFill patternType="darkGray">
          <fgColor auto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darkGray">
          <fgColor auto="1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ill>
        <patternFill>
          <bgColor theme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strike val="0"/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0" tint="-0.499984740745262"/>
      </font>
      <fill>
        <patternFill patternType="darkGray"/>
      </fill>
    </dxf>
    <dxf>
      <font>
        <color theme="0" tint="-0.499984740745262"/>
      </font>
      <fill>
        <patternFill patternType="darkGray"/>
      </fill>
    </dxf>
    <dxf>
      <font>
        <strike val="0"/>
        <color theme="0" tint="-0.499984740745262"/>
      </font>
      <fill>
        <patternFill patternType="darkGray"/>
      </fill>
    </dxf>
    <dxf>
      <fill>
        <patternFill patternType="darkGray">
          <fgColor auto="1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  <dxf>
      <font>
        <color theme="6" tint="-0.499984740745262"/>
      </font>
      <fill>
        <patternFill>
          <bgColor rgb="FFAAC56D"/>
        </patternFill>
      </fill>
    </dxf>
    <dxf>
      <font>
        <color theme="6" tint="-0.24994659260841701"/>
      </font>
      <fill>
        <patternFill>
          <bgColor theme="6" tint="0.59996337778862885"/>
        </patternFill>
      </fill>
    </dxf>
    <dxf>
      <font>
        <color rgb="FFCC9900"/>
      </font>
      <fill>
        <patternFill>
          <bgColor rgb="FFFFFF99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rgb="FFCC6C6A"/>
        </patternFill>
      </fill>
    </dxf>
  </dxfs>
  <tableStyles count="0" defaultTableStyle="TableStyleMedium2" defaultPivotStyle="PivotStyleLight16"/>
  <colors>
    <mruColors>
      <color rgb="FFCC6C6A"/>
      <color rgb="FF8C8C8C"/>
      <color rgb="FF969696"/>
      <color rgb="FFF8A45E"/>
      <color rgb="FFC14E4B"/>
      <color rgb="FFA4C064"/>
      <color rgb="FFE4A70E"/>
      <color rgb="FFAE3F3C"/>
      <color rgb="FF779DCB"/>
      <color rgb="FF6077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903328</xdr:colOff>
      <xdr:row>4</xdr:row>
      <xdr:rowOff>55563</xdr:rowOff>
    </xdr:from>
    <xdr:to>
      <xdr:col>1</xdr:col>
      <xdr:colOff>1770063</xdr:colOff>
      <xdr:row>4</xdr:row>
      <xdr:rowOff>792733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578" y="1016001"/>
          <a:ext cx="866735" cy="737170"/>
        </a:xfrm>
        <a:prstGeom prst="rect">
          <a:avLst/>
        </a:prstGeom>
      </xdr:spPr>
    </xdr:pic>
    <xdr:clientData/>
  </xdr:twoCellAnchor>
  <xdr:twoCellAnchor>
    <xdr:from>
      <xdr:col>2</xdr:col>
      <xdr:colOff>854266</xdr:colOff>
      <xdr:row>3</xdr:row>
      <xdr:rowOff>270544</xdr:rowOff>
    </xdr:from>
    <xdr:to>
      <xdr:col>2</xdr:col>
      <xdr:colOff>1728290</xdr:colOff>
      <xdr:row>5</xdr:row>
      <xdr:rowOff>45361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8329" y="953169"/>
          <a:ext cx="874024" cy="886067"/>
        </a:xfrm>
        <a:prstGeom prst="rect">
          <a:avLst/>
        </a:prstGeom>
      </xdr:spPr>
    </xdr:pic>
    <xdr:clientData/>
  </xdr:twoCellAnchor>
  <xdr:twoCellAnchor>
    <xdr:from>
      <xdr:col>3</xdr:col>
      <xdr:colOff>758959</xdr:colOff>
      <xdr:row>4</xdr:row>
      <xdr:rowOff>58313</xdr:rowOff>
    </xdr:from>
    <xdr:to>
      <xdr:col>3</xdr:col>
      <xdr:colOff>1832414</xdr:colOff>
      <xdr:row>4</xdr:row>
      <xdr:rowOff>820313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33" b="14296"/>
        <a:stretch/>
      </xdr:blipFill>
      <xdr:spPr>
        <a:xfrm>
          <a:off x="9283834" y="1018751"/>
          <a:ext cx="1073455" cy="762000"/>
        </a:xfrm>
        <a:prstGeom prst="rect">
          <a:avLst/>
        </a:prstGeom>
      </xdr:spPr>
    </xdr:pic>
    <xdr:clientData/>
  </xdr:twoCellAnchor>
  <xdr:twoCellAnchor>
    <xdr:from>
      <xdr:col>4</xdr:col>
      <xdr:colOff>785130</xdr:colOff>
      <xdr:row>4</xdr:row>
      <xdr:rowOff>30816</xdr:rowOff>
    </xdr:from>
    <xdr:to>
      <xdr:col>4</xdr:col>
      <xdr:colOff>1868611</xdr:colOff>
      <xdr:row>4</xdr:row>
      <xdr:rowOff>747993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5" b="21571"/>
        <a:stretch/>
      </xdr:blipFill>
      <xdr:spPr>
        <a:xfrm>
          <a:off x="12000818" y="991254"/>
          <a:ext cx="1083481" cy="717177"/>
        </a:xfrm>
        <a:prstGeom prst="rect">
          <a:avLst/>
        </a:prstGeom>
      </xdr:spPr>
    </xdr:pic>
    <xdr:clientData/>
  </xdr:twoCellAnchor>
  <xdr:twoCellAnchor>
    <xdr:from>
      <xdr:col>5</xdr:col>
      <xdr:colOff>886263</xdr:colOff>
      <xdr:row>4</xdr:row>
      <xdr:rowOff>31620</xdr:rowOff>
    </xdr:from>
    <xdr:to>
      <xdr:col>5</xdr:col>
      <xdr:colOff>1762839</xdr:colOff>
      <xdr:row>5</xdr:row>
      <xdr:rowOff>89966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6638" y="992058"/>
          <a:ext cx="876576" cy="891783"/>
        </a:xfrm>
        <a:prstGeom prst="rect">
          <a:avLst/>
        </a:prstGeom>
      </xdr:spPr>
    </xdr:pic>
    <xdr:clientData/>
  </xdr:twoCellAnchor>
  <xdr:twoCellAnchor>
    <xdr:from>
      <xdr:col>6</xdr:col>
      <xdr:colOff>127000</xdr:colOff>
      <xdr:row>0</xdr:row>
      <xdr:rowOff>22412</xdr:rowOff>
    </xdr:from>
    <xdr:to>
      <xdr:col>7</xdr:col>
      <xdr:colOff>567764</xdr:colOff>
      <xdr:row>1</xdr:row>
      <xdr:rowOff>336177</xdr:rowOff>
    </xdr:to>
    <xdr:sp macro="[0]!Macro1" textlink="">
      <xdr:nvSpPr>
        <xdr:cNvPr id="7" name="Rounded Rectangle 6"/>
        <xdr:cNvSpPr/>
      </xdr:nvSpPr>
      <xdr:spPr>
        <a:xfrm>
          <a:off x="16719176" y="22412"/>
          <a:ext cx="1053353" cy="50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Clear Inputs</a:t>
          </a:r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16</xdr:col>
      <xdr:colOff>152627</xdr:colOff>
      <xdr:row>17</xdr:row>
      <xdr:rowOff>216180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434050" y="3073400"/>
          <a:ext cx="4419827" cy="544223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17</xdr:col>
      <xdr:colOff>579626</xdr:colOff>
      <xdr:row>31</xdr:row>
      <xdr:rowOff>59694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429941" y="9696824"/>
          <a:ext cx="5480332" cy="5886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223346</xdr:colOff>
      <xdr:row>4</xdr:row>
      <xdr:rowOff>19594</xdr:rowOff>
    </xdr:from>
    <xdr:to>
      <xdr:col>1</xdr:col>
      <xdr:colOff>1063787</xdr:colOff>
      <xdr:row>5</xdr:row>
      <xdr:rowOff>22795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946" y="984794"/>
          <a:ext cx="840441" cy="835051"/>
        </a:xfrm>
        <a:prstGeom prst="rect">
          <a:avLst/>
        </a:prstGeom>
      </xdr:spPr>
    </xdr:pic>
    <xdr:clientData/>
  </xdr:twoCellAnchor>
  <xdr:twoCellAnchor>
    <xdr:from>
      <xdr:col>2</xdr:col>
      <xdr:colOff>391246</xdr:colOff>
      <xdr:row>4</xdr:row>
      <xdr:rowOff>65933</xdr:rowOff>
    </xdr:from>
    <xdr:to>
      <xdr:col>2</xdr:col>
      <xdr:colOff>1265269</xdr:colOff>
      <xdr:row>5</xdr:row>
      <xdr:rowOff>118563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496" y="1031133"/>
          <a:ext cx="874023" cy="884480"/>
        </a:xfrm>
        <a:prstGeom prst="rect">
          <a:avLst/>
        </a:prstGeom>
      </xdr:spPr>
    </xdr:pic>
    <xdr:clientData/>
  </xdr:twoCellAnchor>
  <xdr:twoCellAnchor>
    <xdr:from>
      <xdr:col>3</xdr:col>
      <xdr:colOff>346209</xdr:colOff>
      <xdr:row>4</xdr:row>
      <xdr:rowOff>74188</xdr:rowOff>
    </xdr:from>
    <xdr:to>
      <xdr:col>3</xdr:col>
      <xdr:colOff>1419664</xdr:colOff>
      <xdr:row>5</xdr:row>
      <xdr:rowOff>2751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33" b="14296"/>
        <a:stretch/>
      </xdr:blipFill>
      <xdr:spPr>
        <a:xfrm>
          <a:off x="5477009" y="1039388"/>
          <a:ext cx="1073455" cy="760413"/>
        </a:xfrm>
        <a:prstGeom prst="rect">
          <a:avLst/>
        </a:prstGeom>
      </xdr:spPr>
    </xdr:pic>
    <xdr:clientData/>
  </xdr:twoCellAnchor>
  <xdr:twoCellAnchor>
    <xdr:from>
      <xdr:col>4</xdr:col>
      <xdr:colOff>499380</xdr:colOff>
      <xdr:row>4</xdr:row>
      <xdr:rowOff>62566</xdr:rowOff>
    </xdr:from>
    <xdr:to>
      <xdr:col>4</xdr:col>
      <xdr:colOff>1582861</xdr:colOff>
      <xdr:row>4</xdr:row>
      <xdr:rowOff>779743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5" b="21571"/>
        <a:stretch/>
      </xdr:blipFill>
      <xdr:spPr>
        <a:xfrm>
          <a:off x="7478030" y="1027766"/>
          <a:ext cx="1083481" cy="717177"/>
        </a:xfrm>
        <a:prstGeom prst="rect">
          <a:avLst/>
        </a:prstGeom>
      </xdr:spPr>
    </xdr:pic>
    <xdr:clientData/>
  </xdr:twoCellAnchor>
  <xdr:twoCellAnchor>
    <xdr:from>
      <xdr:col>5</xdr:col>
      <xdr:colOff>886263</xdr:colOff>
      <xdr:row>4</xdr:row>
      <xdr:rowOff>31620</xdr:rowOff>
    </xdr:from>
    <xdr:to>
      <xdr:col>5</xdr:col>
      <xdr:colOff>1762839</xdr:colOff>
      <xdr:row>5</xdr:row>
      <xdr:rowOff>89966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4863" y="996820"/>
          <a:ext cx="876576" cy="8901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903328</xdr:colOff>
      <xdr:row>4</xdr:row>
      <xdr:rowOff>55563</xdr:rowOff>
    </xdr:from>
    <xdr:to>
      <xdr:col>1</xdr:col>
      <xdr:colOff>1770063</xdr:colOff>
      <xdr:row>4</xdr:row>
      <xdr:rowOff>792733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578" y="1274763"/>
          <a:ext cx="866735" cy="737170"/>
        </a:xfrm>
        <a:prstGeom prst="rect">
          <a:avLst/>
        </a:prstGeom>
      </xdr:spPr>
    </xdr:pic>
    <xdr:clientData/>
  </xdr:twoCellAnchor>
  <xdr:twoCellAnchor>
    <xdr:from>
      <xdr:col>2</xdr:col>
      <xdr:colOff>854266</xdr:colOff>
      <xdr:row>3</xdr:row>
      <xdr:rowOff>270544</xdr:rowOff>
    </xdr:from>
    <xdr:to>
      <xdr:col>2</xdr:col>
      <xdr:colOff>1728290</xdr:colOff>
      <xdr:row>5</xdr:row>
      <xdr:rowOff>45361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6" y="1210344"/>
          <a:ext cx="874024" cy="886067"/>
        </a:xfrm>
        <a:prstGeom prst="rect">
          <a:avLst/>
        </a:prstGeom>
      </xdr:spPr>
    </xdr:pic>
    <xdr:clientData/>
  </xdr:twoCellAnchor>
  <xdr:twoCellAnchor>
    <xdr:from>
      <xdr:col>3</xdr:col>
      <xdr:colOff>758959</xdr:colOff>
      <xdr:row>4</xdr:row>
      <xdr:rowOff>58313</xdr:rowOff>
    </xdr:from>
    <xdr:to>
      <xdr:col>3</xdr:col>
      <xdr:colOff>1832414</xdr:colOff>
      <xdr:row>4</xdr:row>
      <xdr:rowOff>820313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33" b="14296"/>
        <a:stretch/>
      </xdr:blipFill>
      <xdr:spPr>
        <a:xfrm>
          <a:off x="9287009" y="1277513"/>
          <a:ext cx="1073455" cy="762000"/>
        </a:xfrm>
        <a:prstGeom prst="rect">
          <a:avLst/>
        </a:prstGeom>
      </xdr:spPr>
    </xdr:pic>
    <xdr:clientData/>
  </xdr:twoCellAnchor>
  <xdr:twoCellAnchor>
    <xdr:from>
      <xdr:col>4</xdr:col>
      <xdr:colOff>785130</xdr:colOff>
      <xdr:row>4</xdr:row>
      <xdr:rowOff>30816</xdr:rowOff>
    </xdr:from>
    <xdr:to>
      <xdr:col>4</xdr:col>
      <xdr:colOff>1868611</xdr:colOff>
      <xdr:row>4</xdr:row>
      <xdr:rowOff>747993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5" b="21571"/>
        <a:stretch/>
      </xdr:blipFill>
      <xdr:spPr>
        <a:xfrm>
          <a:off x="12005580" y="1250016"/>
          <a:ext cx="1083481" cy="717177"/>
        </a:xfrm>
        <a:prstGeom prst="rect">
          <a:avLst/>
        </a:prstGeom>
      </xdr:spPr>
    </xdr:pic>
    <xdr:clientData/>
  </xdr:twoCellAnchor>
  <xdr:twoCellAnchor>
    <xdr:from>
      <xdr:col>5</xdr:col>
      <xdr:colOff>886263</xdr:colOff>
      <xdr:row>4</xdr:row>
      <xdr:rowOff>31620</xdr:rowOff>
    </xdr:from>
    <xdr:to>
      <xdr:col>5</xdr:col>
      <xdr:colOff>1762839</xdr:colOff>
      <xdr:row>5</xdr:row>
      <xdr:rowOff>89966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9113" y="1250820"/>
          <a:ext cx="876576" cy="89019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16</xdr:col>
      <xdr:colOff>152627</xdr:colOff>
      <xdr:row>17</xdr:row>
      <xdr:rowOff>216180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434050" y="3073400"/>
          <a:ext cx="4419827" cy="544223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17</xdr:col>
      <xdr:colOff>579626</xdr:colOff>
      <xdr:row>31</xdr:row>
      <xdr:rowOff>59695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434050" y="9696450"/>
          <a:ext cx="5456426" cy="58635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903328</xdr:colOff>
      <xdr:row>4</xdr:row>
      <xdr:rowOff>55563</xdr:rowOff>
    </xdr:from>
    <xdr:to>
      <xdr:col>1</xdr:col>
      <xdr:colOff>1770063</xdr:colOff>
      <xdr:row>4</xdr:row>
      <xdr:rowOff>792733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578" y="1274763"/>
          <a:ext cx="866735" cy="737170"/>
        </a:xfrm>
        <a:prstGeom prst="rect">
          <a:avLst/>
        </a:prstGeom>
      </xdr:spPr>
    </xdr:pic>
    <xdr:clientData/>
  </xdr:twoCellAnchor>
  <xdr:twoCellAnchor>
    <xdr:from>
      <xdr:col>2</xdr:col>
      <xdr:colOff>854266</xdr:colOff>
      <xdr:row>3</xdr:row>
      <xdr:rowOff>270544</xdr:rowOff>
    </xdr:from>
    <xdr:to>
      <xdr:col>2</xdr:col>
      <xdr:colOff>1728290</xdr:colOff>
      <xdr:row>5</xdr:row>
      <xdr:rowOff>45361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6" y="1210344"/>
          <a:ext cx="874024" cy="886067"/>
        </a:xfrm>
        <a:prstGeom prst="rect">
          <a:avLst/>
        </a:prstGeom>
      </xdr:spPr>
    </xdr:pic>
    <xdr:clientData/>
  </xdr:twoCellAnchor>
  <xdr:twoCellAnchor>
    <xdr:from>
      <xdr:col>3</xdr:col>
      <xdr:colOff>758959</xdr:colOff>
      <xdr:row>4</xdr:row>
      <xdr:rowOff>58313</xdr:rowOff>
    </xdr:from>
    <xdr:to>
      <xdr:col>3</xdr:col>
      <xdr:colOff>1832414</xdr:colOff>
      <xdr:row>4</xdr:row>
      <xdr:rowOff>820313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33" b="14296"/>
        <a:stretch/>
      </xdr:blipFill>
      <xdr:spPr>
        <a:xfrm>
          <a:off x="9287009" y="1277513"/>
          <a:ext cx="1073455" cy="762000"/>
        </a:xfrm>
        <a:prstGeom prst="rect">
          <a:avLst/>
        </a:prstGeom>
      </xdr:spPr>
    </xdr:pic>
    <xdr:clientData/>
  </xdr:twoCellAnchor>
  <xdr:twoCellAnchor>
    <xdr:from>
      <xdr:col>4</xdr:col>
      <xdr:colOff>785130</xdr:colOff>
      <xdr:row>4</xdr:row>
      <xdr:rowOff>30816</xdr:rowOff>
    </xdr:from>
    <xdr:to>
      <xdr:col>4</xdr:col>
      <xdr:colOff>1868611</xdr:colOff>
      <xdr:row>4</xdr:row>
      <xdr:rowOff>747993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5" b="21571"/>
        <a:stretch/>
      </xdr:blipFill>
      <xdr:spPr>
        <a:xfrm>
          <a:off x="12005580" y="1250016"/>
          <a:ext cx="1083481" cy="717177"/>
        </a:xfrm>
        <a:prstGeom prst="rect">
          <a:avLst/>
        </a:prstGeom>
      </xdr:spPr>
    </xdr:pic>
    <xdr:clientData/>
  </xdr:twoCellAnchor>
  <xdr:twoCellAnchor>
    <xdr:from>
      <xdr:col>5</xdr:col>
      <xdr:colOff>886263</xdr:colOff>
      <xdr:row>4</xdr:row>
      <xdr:rowOff>31620</xdr:rowOff>
    </xdr:from>
    <xdr:to>
      <xdr:col>5</xdr:col>
      <xdr:colOff>1762839</xdr:colOff>
      <xdr:row>5</xdr:row>
      <xdr:rowOff>89966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9113" y="1250820"/>
          <a:ext cx="876576" cy="890196"/>
        </a:xfrm>
        <a:prstGeom prst="rect">
          <a:avLst/>
        </a:prstGeom>
      </xdr:spPr>
    </xdr:pic>
    <xdr:clientData/>
  </xdr:twoCellAnchor>
  <xdr:twoCellAnchor>
    <xdr:from>
      <xdr:col>6</xdr:col>
      <xdr:colOff>127000</xdr:colOff>
      <xdr:row>0</xdr:row>
      <xdr:rowOff>22412</xdr:rowOff>
    </xdr:from>
    <xdr:to>
      <xdr:col>7</xdr:col>
      <xdr:colOff>567764</xdr:colOff>
      <xdr:row>1</xdr:row>
      <xdr:rowOff>336177</xdr:rowOff>
    </xdr:to>
    <xdr:sp macro="[0]!Macro1" textlink="">
      <xdr:nvSpPr>
        <xdr:cNvPr id="7" name="Rounded Rectangle 6"/>
        <xdr:cNvSpPr/>
      </xdr:nvSpPr>
      <xdr:spPr>
        <a:xfrm>
          <a:off x="16732250" y="22412"/>
          <a:ext cx="1050364" cy="51061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Clear Inputs</a:t>
          </a:r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16</xdr:col>
      <xdr:colOff>152627</xdr:colOff>
      <xdr:row>17</xdr:row>
      <xdr:rowOff>216180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434050" y="3073400"/>
          <a:ext cx="4419827" cy="544223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17</xdr:col>
      <xdr:colOff>579626</xdr:colOff>
      <xdr:row>31</xdr:row>
      <xdr:rowOff>59695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434050" y="9696450"/>
          <a:ext cx="5456426" cy="58762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903328</xdr:colOff>
      <xdr:row>4</xdr:row>
      <xdr:rowOff>55563</xdr:rowOff>
    </xdr:from>
    <xdr:to>
      <xdr:col>1</xdr:col>
      <xdr:colOff>1770063</xdr:colOff>
      <xdr:row>4</xdr:row>
      <xdr:rowOff>792733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578" y="1274763"/>
          <a:ext cx="866735" cy="737170"/>
        </a:xfrm>
        <a:prstGeom prst="rect">
          <a:avLst/>
        </a:prstGeom>
      </xdr:spPr>
    </xdr:pic>
    <xdr:clientData/>
  </xdr:twoCellAnchor>
  <xdr:twoCellAnchor>
    <xdr:from>
      <xdr:col>2</xdr:col>
      <xdr:colOff>854266</xdr:colOff>
      <xdr:row>3</xdr:row>
      <xdr:rowOff>270544</xdr:rowOff>
    </xdr:from>
    <xdr:to>
      <xdr:col>2</xdr:col>
      <xdr:colOff>1728290</xdr:colOff>
      <xdr:row>5</xdr:row>
      <xdr:rowOff>45361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6" y="1210344"/>
          <a:ext cx="874024" cy="886067"/>
        </a:xfrm>
        <a:prstGeom prst="rect">
          <a:avLst/>
        </a:prstGeom>
      </xdr:spPr>
    </xdr:pic>
    <xdr:clientData/>
  </xdr:twoCellAnchor>
  <xdr:twoCellAnchor>
    <xdr:from>
      <xdr:col>3</xdr:col>
      <xdr:colOff>758959</xdr:colOff>
      <xdr:row>4</xdr:row>
      <xdr:rowOff>58313</xdr:rowOff>
    </xdr:from>
    <xdr:to>
      <xdr:col>3</xdr:col>
      <xdr:colOff>1832414</xdr:colOff>
      <xdr:row>4</xdr:row>
      <xdr:rowOff>820313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33" b="14296"/>
        <a:stretch/>
      </xdr:blipFill>
      <xdr:spPr>
        <a:xfrm>
          <a:off x="9287009" y="1277513"/>
          <a:ext cx="1073455" cy="762000"/>
        </a:xfrm>
        <a:prstGeom prst="rect">
          <a:avLst/>
        </a:prstGeom>
      </xdr:spPr>
    </xdr:pic>
    <xdr:clientData/>
  </xdr:twoCellAnchor>
  <xdr:twoCellAnchor>
    <xdr:from>
      <xdr:col>4</xdr:col>
      <xdr:colOff>785130</xdr:colOff>
      <xdr:row>4</xdr:row>
      <xdr:rowOff>30816</xdr:rowOff>
    </xdr:from>
    <xdr:to>
      <xdr:col>4</xdr:col>
      <xdr:colOff>1868611</xdr:colOff>
      <xdr:row>4</xdr:row>
      <xdr:rowOff>747993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5" b="21571"/>
        <a:stretch/>
      </xdr:blipFill>
      <xdr:spPr>
        <a:xfrm>
          <a:off x="12005580" y="1250016"/>
          <a:ext cx="1083481" cy="717177"/>
        </a:xfrm>
        <a:prstGeom prst="rect">
          <a:avLst/>
        </a:prstGeom>
      </xdr:spPr>
    </xdr:pic>
    <xdr:clientData/>
  </xdr:twoCellAnchor>
  <xdr:twoCellAnchor>
    <xdr:from>
      <xdr:col>5</xdr:col>
      <xdr:colOff>886263</xdr:colOff>
      <xdr:row>4</xdr:row>
      <xdr:rowOff>31620</xdr:rowOff>
    </xdr:from>
    <xdr:to>
      <xdr:col>5</xdr:col>
      <xdr:colOff>1762839</xdr:colOff>
      <xdr:row>5</xdr:row>
      <xdr:rowOff>89966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9113" y="1250820"/>
          <a:ext cx="876576" cy="890196"/>
        </a:xfrm>
        <a:prstGeom prst="rect">
          <a:avLst/>
        </a:prstGeom>
      </xdr:spPr>
    </xdr:pic>
    <xdr:clientData/>
  </xdr:twoCellAnchor>
  <xdr:twoCellAnchor>
    <xdr:from>
      <xdr:col>6</xdr:col>
      <xdr:colOff>127000</xdr:colOff>
      <xdr:row>0</xdr:row>
      <xdr:rowOff>22412</xdr:rowOff>
    </xdr:from>
    <xdr:to>
      <xdr:col>7</xdr:col>
      <xdr:colOff>567764</xdr:colOff>
      <xdr:row>1</xdr:row>
      <xdr:rowOff>336177</xdr:rowOff>
    </xdr:to>
    <xdr:sp macro="[0]!Macro1" textlink="">
      <xdr:nvSpPr>
        <xdr:cNvPr id="7" name="Rounded Rectangle 6"/>
        <xdr:cNvSpPr/>
      </xdr:nvSpPr>
      <xdr:spPr>
        <a:xfrm>
          <a:off x="16732250" y="22412"/>
          <a:ext cx="1050364" cy="51061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Clear Inputs</a:t>
          </a:r>
        </a:p>
      </xdr:txBody>
    </xdr:sp>
    <xdr:clientData/>
  </xdr:twoCellAnchor>
  <xdr:twoCellAnchor editAs="oneCell">
    <xdr:from>
      <xdr:col>9</xdr:col>
      <xdr:colOff>0</xdr:colOff>
      <xdr:row>8</xdr:row>
      <xdr:rowOff>0</xdr:rowOff>
    </xdr:from>
    <xdr:to>
      <xdr:col>16</xdr:col>
      <xdr:colOff>152627</xdr:colOff>
      <xdr:row>17</xdr:row>
      <xdr:rowOff>216180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434050" y="3073400"/>
          <a:ext cx="4419827" cy="544223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17</xdr:col>
      <xdr:colOff>579626</xdr:colOff>
      <xdr:row>31</xdr:row>
      <xdr:rowOff>59695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434050" y="9696450"/>
          <a:ext cx="5456426" cy="58762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903328</xdr:colOff>
      <xdr:row>4</xdr:row>
      <xdr:rowOff>55563</xdr:rowOff>
    </xdr:from>
    <xdr:to>
      <xdr:col>1</xdr:col>
      <xdr:colOff>1770063</xdr:colOff>
      <xdr:row>4</xdr:row>
      <xdr:rowOff>792733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578" y="1274763"/>
          <a:ext cx="866735" cy="737170"/>
        </a:xfrm>
        <a:prstGeom prst="rect">
          <a:avLst/>
        </a:prstGeom>
      </xdr:spPr>
    </xdr:pic>
    <xdr:clientData/>
  </xdr:twoCellAnchor>
  <xdr:twoCellAnchor>
    <xdr:from>
      <xdr:col>2</xdr:col>
      <xdr:colOff>854266</xdr:colOff>
      <xdr:row>3</xdr:row>
      <xdr:rowOff>270544</xdr:rowOff>
    </xdr:from>
    <xdr:to>
      <xdr:col>2</xdr:col>
      <xdr:colOff>1728290</xdr:colOff>
      <xdr:row>5</xdr:row>
      <xdr:rowOff>45361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916" y="1210344"/>
          <a:ext cx="874024" cy="886067"/>
        </a:xfrm>
        <a:prstGeom prst="rect">
          <a:avLst/>
        </a:prstGeom>
      </xdr:spPr>
    </xdr:pic>
    <xdr:clientData/>
  </xdr:twoCellAnchor>
  <xdr:twoCellAnchor>
    <xdr:from>
      <xdr:col>3</xdr:col>
      <xdr:colOff>758959</xdr:colOff>
      <xdr:row>4</xdr:row>
      <xdr:rowOff>58313</xdr:rowOff>
    </xdr:from>
    <xdr:to>
      <xdr:col>3</xdr:col>
      <xdr:colOff>1832414</xdr:colOff>
      <xdr:row>4</xdr:row>
      <xdr:rowOff>820313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733" b="14296"/>
        <a:stretch/>
      </xdr:blipFill>
      <xdr:spPr>
        <a:xfrm>
          <a:off x="9287009" y="1277513"/>
          <a:ext cx="1073455" cy="762000"/>
        </a:xfrm>
        <a:prstGeom prst="rect">
          <a:avLst/>
        </a:prstGeom>
      </xdr:spPr>
    </xdr:pic>
    <xdr:clientData/>
  </xdr:twoCellAnchor>
  <xdr:twoCellAnchor>
    <xdr:from>
      <xdr:col>4</xdr:col>
      <xdr:colOff>785130</xdr:colOff>
      <xdr:row>4</xdr:row>
      <xdr:rowOff>30816</xdr:rowOff>
    </xdr:from>
    <xdr:to>
      <xdr:col>4</xdr:col>
      <xdr:colOff>1868611</xdr:colOff>
      <xdr:row>4</xdr:row>
      <xdr:rowOff>747993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75" b="21571"/>
        <a:stretch/>
      </xdr:blipFill>
      <xdr:spPr>
        <a:xfrm>
          <a:off x="12005580" y="1250016"/>
          <a:ext cx="1083481" cy="717177"/>
        </a:xfrm>
        <a:prstGeom prst="rect">
          <a:avLst/>
        </a:prstGeom>
      </xdr:spPr>
    </xdr:pic>
    <xdr:clientData/>
  </xdr:twoCellAnchor>
  <xdr:twoCellAnchor>
    <xdr:from>
      <xdr:col>5</xdr:col>
      <xdr:colOff>886263</xdr:colOff>
      <xdr:row>4</xdr:row>
      <xdr:rowOff>31620</xdr:rowOff>
    </xdr:from>
    <xdr:to>
      <xdr:col>5</xdr:col>
      <xdr:colOff>1762839</xdr:colOff>
      <xdr:row>5</xdr:row>
      <xdr:rowOff>89966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9113" y="1250820"/>
          <a:ext cx="876576" cy="890196"/>
        </a:xfrm>
        <a:prstGeom prst="rect">
          <a:avLst/>
        </a:prstGeom>
      </xdr:spPr>
    </xdr:pic>
    <xdr:clientData/>
  </xdr:twoCellAnchor>
  <xdr:twoCellAnchor>
    <xdr:from>
      <xdr:col>6</xdr:col>
      <xdr:colOff>127000</xdr:colOff>
      <xdr:row>0</xdr:row>
      <xdr:rowOff>22412</xdr:rowOff>
    </xdr:from>
    <xdr:to>
      <xdr:col>7</xdr:col>
      <xdr:colOff>567764</xdr:colOff>
      <xdr:row>1</xdr:row>
      <xdr:rowOff>336177</xdr:rowOff>
    </xdr:to>
    <xdr:sp macro="[0]!Macro1" textlink="">
      <xdr:nvSpPr>
        <xdr:cNvPr id="7" name="Rounded Rectangle 6"/>
        <xdr:cNvSpPr/>
      </xdr:nvSpPr>
      <xdr:spPr>
        <a:xfrm>
          <a:off x="16732250" y="22412"/>
          <a:ext cx="1050364" cy="51061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Clear Inputs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workbookViewId="0"/>
  </sheetViews>
  <sheetFormatPr defaultRowHeight="14.4" x14ac:dyDescent="0.3"/>
  <cols>
    <col min="1" max="1" width="45" customWidth="1"/>
    <col min="2" max="6" width="38.5546875" customWidth="1"/>
  </cols>
  <sheetData>
    <row r="1" spans="1:13" ht="15.6" x14ac:dyDescent="0.3">
      <c r="A1" s="52" t="s">
        <v>87</v>
      </c>
      <c r="B1" s="53"/>
      <c r="C1" s="53"/>
      <c r="D1" s="53"/>
      <c r="E1" s="53"/>
      <c r="F1" s="53"/>
      <c r="G1" s="310"/>
      <c r="L1" s="257"/>
      <c r="M1" s="257"/>
    </row>
    <row r="2" spans="1:13" ht="34.200000000000003" thickBot="1" x14ac:dyDescent="0.35">
      <c r="A2" s="296" t="s">
        <v>14</v>
      </c>
      <c r="B2" s="297" t="str">
        <f>B13</f>
        <v/>
      </c>
      <c r="C2" s="297" t="str">
        <f t="shared" ref="C2:F2" si="0">C13</f>
        <v/>
      </c>
      <c r="D2" s="297" t="str">
        <f t="shared" si="0"/>
        <v/>
      </c>
      <c r="E2" s="297" t="str">
        <f t="shared" si="0"/>
        <v/>
      </c>
      <c r="F2" s="309" t="str">
        <f t="shared" si="0"/>
        <v/>
      </c>
    </row>
    <row r="3" spans="1:13" ht="24.6" thickTop="1" thickBot="1" x14ac:dyDescent="0.35">
      <c r="A3" s="231" t="s">
        <v>13</v>
      </c>
      <c r="B3" s="393"/>
      <c r="C3" s="393"/>
      <c r="D3" s="393"/>
      <c r="E3" s="393"/>
      <c r="F3" s="394"/>
    </row>
    <row r="4" spans="1:13" ht="22.2" thickTop="1" thickBot="1" x14ac:dyDescent="0.35">
      <c r="A4" s="54" t="s">
        <v>22</v>
      </c>
      <c r="B4" s="395" t="s">
        <v>193</v>
      </c>
      <c r="C4" s="395"/>
      <c r="D4" s="395"/>
      <c r="E4" s="395"/>
      <c r="F4" s="396"/>
    </row>
    <row r="5" spans="1:13" ht="65.55" customHeight="1" thickTop="1" x14ac:dyDescent="0.3">
      <c r="A5" s="55" t="s">
        <v>28</v>
      </c>
      <c r="B5" s="56"/>
      <c r="C5" s="57"/>
      <c r="D5" s="57"/>
      <c r="E5" s="57"/>
      <c r="F5" s="308"/>
    </row>
    <row r="6" spans="1:13" ht="23.4" x14ac:dyDescent="0.3">
      <c r="A6" s="397"/>
      <c r="B6" s="397"/>
      <c r="C6" s="397"/>
      <c r="D6" s="397"/>
      <c r="E6" s="397"/>
      <c r="F6" s="398"/>
    </row>
    <row r="7" spans="1:13" ht="23.4" x14ac:dyDescent="0.3">
      <c r="A7" s="237" t="s">
        <v>176</v>
      </c>
      <c r="B7" s="400" t="s">
        <v>180</v>
      </c>
      <c r="C7" s="400"/>
      <c r="D7" s="400"/>
      <c r="E7" s="400"/>
      <c r="F7" s="401"/>
    </row>
    <row r="8" spans="1:13" ht="33.6" x14ac:dyDescent="0.3">
      <c r="A8" s="59" t="s">
        <v>15</v>
      </c>
      <c r="B8" s="60" t="str">
        <f>_xlfn.IFNA(VLOOKUP(IF(OR(AND(B9="Upwards",B11="None"),AND(B11="Upwards",B9="None")),INDEX(Grades!R17:S22,MATCH(VLOOKUP($B$4,Targets!$D$6:$I$15,2,FALSE),Grades!$R$17:$R$22,0)-1,2),IF(OR(AND(B9="Downwards",B11="None"),AND(B9="Downwards",B11="None")),INDEX(Grades!$R$17:$S$22,MATCH(VLOOKUP($B$4,Targets!$D$6:$I$15,2,FALSE),Grades!$R$17:$R$22,0)+1,2),IF(AND(B11="Upwards",B9="Upwards"),INDEX(Grades!$R$17:$S$22,MATCH(VLOOKUP($B$4,Targets!$D$6:$I$15,2,FALSE),Grades!$R$17:$R$22,0)-2,2),IF(AND(B9="Downwards",B11="Downwards"),INDEX(Grades!$R$17:$S$22,MATCH(VLOOKUP($B$4,Targets!$D$6:$I$15,2,FALSE),Grades!$R$17:$R$22,0)+2,2),INDEX(Grades!$R$17:$S$22,MATCH(VLOOKUP($B$4,Targets!$D$6:$I$15,2,FALSE),Grades!$R$17:$R$22,0),2))))),Grades!$S$17:$T$22,2,FALSE),"")</f>
        <v/>
      </c>
      <c r="C8" s="60" t="str">
        <f>_xlfn.IFNA(VLOOKUP(IF(OR(AND(C9="Upwards",C11="None"),AND(C11="Upwards",C9="None")),INDEX(Grades!R17:S22,MATCH(VLOOKUP($B$4,Targets!$D$6:$I$15,3,FALSE),Grades!$R$17:$R$22,0)-1,2),IF(OR(AND(C9="Downwards",C11="None"),AND(C9="Downwards",C11="None")),INDEX(Grades!$R$17:$S$22,MATCH(VLOOKUP($B$4,Targets!$D$6:$I$15,3,FALSE),Grades!$R$17:$R$22,0)+1,2),IF(AND(C11="Upwards",C9="Upwards"),INDEX(Grades!$R$17:$S$22,MATCH(VLOOKUP($B$4,Targets!$D$6:$I$15,3,FALSE),Grades!$R$17:$R$22,0)-2,2),IF(AND(C9="Downwards",C11="Downwards"),INDEX(Grades!$R$17:$S$22,MATCH(VLOOKUP($B$4,Targets!$D$6:$I$15,3,FALSE),Grades!$R$17:$R$22,0)+2,2),INDEX(Grades!$R$17:$S$22,MATCH(VLOOKUP($B$4,Targets!$D$6:$I$15,3,FALSE),Grades!$R$17:$R$22,0),2))))),Grades!$S$17:$T$22,2,FALSE),"")</f>
        <v/>
      </c>
      <c r="D8" s="60" t="str">
        <f>_xlfn.IFNA(VLOOKUP(IF(OR(AND(D9="Upwards",D11="None"),AND(D11="Upwards",D9="None")),INDEX(Grades!R17:S22,MATCH(VLOOKUP($B$4,Targets!$D$6:$I$15,4,FALSE),Grades!$R$17:$R$22,0)-1,2),IF(OR(AND(D9="Downwards",D11="None"),AND(D9="Downwards",D11="None")),INDEX(Grades!$R$17:$S$22,MATCH(VLOOKUP($B$4,Targets!$D$6:$I$15,4,FALSE),Grades!$R$17:$R$22,0)+1,2),IF(AND(D11="Upwards",D9="Upwards"),INDEX(Grades!$R$17:$S$22,MATCH(VLOOKUP($B$4,Targets!$D$6:$I$15,4,FALSE),Grades!$R$17:$R$22,0)-2,2),IF(AND(D9="Downwards",D11="Downwards"),INDEX(Grades!$R$17:$S$22,MATCH(VLOOKUP($B$4,Targets!$D$6:$I$15,4,FALSE),Grades!$R$17:$R$22,0)+2,2),INDEX(Grades!$R$17:$S$22,MATCH(VLOOKUP($B$4,Targets!$D$6:$I$15,4,FALSE),Grades!$R$17:$R$22,0),2))))),Grades!$S$17:$T$22,2,FALSE),"")</f>
        <v/>
      </c>
      <c r="E8" s="60" t="str">
        <f>_xlfn.IFNA(VLOOKUP(IF(OR(AND(E9="Upwards",E11="None"),AND(E11="Upwards",E9="None")),INDEX(Grades!R17:S22,MATCH(VLOOKUP($B$4,Targets!$D$6:$I$15,5,FALSE),Grades!$R$17:$R$22,0)-1,2),IF(OR(AND(E9="Downwards",E11="None"),AND(E9="Downwards",E11="None")),INDEX(Grades!$R$17:$S$22,MATCH(VLOOKUP($B$4,Targets!$D$6:$I$15,5,FALSE),Grades!$R$17:$R$22,0)+1,2),IF(AND(E11="Upwards",E9="Upwards"),INDEX(Grades!$R$17:$S$22,MATCH(VLOOKUP($B$4,Targets!$D$6:$I$15,5,FALSE),Grades!$R$17:$R$22,0)-2,2),IF(AND(E9="Downwards",E11="Downwards"),INDEX(Grades!$R$17:$S$22,MATCH(VLOOKUP($B$4,Targets!$D$6:$I$15,5,FALSE),Grades!$R$17:$R$22,0)+2,2),INDEX(Grades!$R$17:$S$22,MATCH(VLOOKUP($B$4,Targets!$D$6:$I$15,5,FALSE),Grades!$R$17:$R$22,0),2))))),Grades!$S$17:$T$22,2,FALSE),"")</f>
        <v/>
      </c>
      <c r="F8" s="304" t="str">
        <f>_xlfn.IFNA(VLOOKUP(IF(OR(AND(F9="Upwards",F11="None"),AND(F11="Upwards",F9="None")),INDEX(Grades!R17:S22,MATCH(VLOOKUP($B$4,Targets!$D$6:$I$15,6,FALSE),Grades!$R$17:$R$22,0)-1,2),IF(OR(AND(F9="Downwards",F11="None"),AND(F9="Downwards",F11="None")),INDEX(Grades!$R$17:$S$22,MATCH(VLOOKUP($B$4,Targets!$D$6:$I$15,6,FALSE),Grades!$R$17:$R$22,0)+1,2),IF(AND(F11="Upwards",F9="Upwards"),INDEX(Grades!$R$17:$S$22,MATCH(VLOOKUP($B$4,Targets!$D$6:$I$15,6,FALSE),Grades!$R$17:$R$22,0)-2,2),IF(AND(F9="Downwards",F11="Downwards"),INDEX(Grades!$R$17:$S$22,MATCH(VLOOKUP($B$4,Targets!$D$6:$I$15,6,FALSE),Grades!$R$17:$R$22,0)+2,2),INDEX(Grades!$R$17:$S$22,MATCH(VLOOKUP($B$4,Targets!$D$6:$I$15,6,FALSE),Grades!$R$17:$R$22,0),2))))),Grades!$S$17:$T$22,2,FALSE),"")</f>
        <v/>
      </c>
      <c r="K8" s="292"/>
    </row>
    <row r="9" spans="1:13" ht="33.6" x14ac:dyDescent="0.3">
      <c r="A9" s="59" t="s">
        <v>265</v>
      </c>
      <c r="B9" s="258" t="s">
        <v>236</v>
      </c>
      <c r="C9" s="258" t="s">
        <v>236</v>
      </c>
      <c r="D9" s="258" t="s">
        <v>236</v>
      </c>
      <c r="E9" s="258" t="s">
        <v>236</v>
      </c>
      <c r="F9" s="305" t="s">
        <v>236</v>
      </c>
    </row>
    <row r="10" spans="1:13" ht="23.4" x14ac:dyDescent="0.3">
      <c r="A10" s="59" t="s">
        <v>237</v>
      </c>
      <c r="B10" s="298"/>
      <c r="C10" s="298"/>
      <c r="D10" s="298"/>
      <c r="E10" s="298"/>
      <c r="F10" s="306"/>
    </row>
    <row r="11" spans="1:13" ht="33.6" x14ac:dyDescent="0.3">
      <c r="A11" s="59" t="s">
        <v>264</v>
      </c>
      <c r="B11" s="258" t="s">
        <v>236</v>
      </c>
      <c r="C11" s="258" t="s">
        <v>236</v>
      </c>
      <c r="D11" s="258" t="s">
        <v>236</v>
      </c>
      <c r="E11" s="258" t="s">
        <v>236</v>
      </c>
      <c r="F11" s="305" t="s">
        <v>236</v>
      </c>
    </row>
    <row r="12" spans="1:13" ht="23.4" x14ac:dyDescent="0.3">
      <c r="A12" s="59" t="s">
        <v>237</v>
      </c>
      <c r="B12" s="298"/>
      <c r="C12" s="298"/>
      <c r="D12" s="298"/>
      <c r="E12" s="298"/>
      <c r="F12" s="306"/>
    </row>
    <row r="13" spans="1:13" ht="34.200000000000003" thickBot="1" x14ac:dyDescent="0.35">
      <c r="A13" s="59" t="s">
        <v>14</v>
      </c>
      <c r="B13" s="261" t="str">
        <f>_xlfn.IFNA(VLOOKUP(IF(B7="UNSIGNALIZED INTERSECTIONS",ROUND(((IF(B22="",0,INDEX(Grades!$R$17:$T$22,MATCH(B22,Grades!$J5:$O5,0),2))*VLOOKUP('Ver1'!B21,Grades!$G5:$I24,2,FALSE))+((IF(B24="",0,INDEX(Grades!$R$17:$T$22,MATCH(B24,Grades!$J6:$O6,0),2)))*VLOOKUP('Ver1'!B23,Grades!$G5:$I24,2,FALSE))+((IF(B26="",0,INDEX(Grades!$R$17:$T$22,MATCH(B26,Grades!$J7:$O7,0),2)))*IF(B25="",0,VLOOKUP('Ver1'!B25,Grades!$G5:$I24,2,FALSE)))+((IF(B28="",0,INDEX(Grades!$R$17:$T$22,MATCH(B28,Grades!$J8:$O8,0),2)))*IF(B27="",0,VLOOKUP('Ver1'!B27,Grades!$G5:$I24,2,FALSE)))),0),IF(B7="SIGNALIZED INTERSECTIONS",ROUND((IF(B22="",0,INDEX(Grades!$R$17:$T$22,MATCH(B22,Grades!$J27:$O27,0),2)*VLOOKUP('Ver1'!B21,Grades!$G27:$H46,2,FALSE))+(IF(B24="",0,INDEX(Grades!$R$17:$T$22,MATCH(B24,Grades!$J28:$O28,0),2)*VLOOKUP('Ver1'!B23,Grades!$G27:$H46,2,FALSE)))+(IF(B26="",0,INDEX(Grades!$R$17:$T$22,MATCH(B26,Grades!$J29:$O29,0),2))*IF(B25="",0,VLOOKUP('Ver1'!B25,Grades!$G27:$H46,2,FALSE)))+(IF(B28="",0,INDEX(Grades!$R$17:$T$22,MATCH(B28,Grades!$J30:$O30,0),2))*IF(B27="",0,VLOOKUP('Ver1'!B27,Grades!$G27:$H46,2,FALSE)))),0),ROUND((IF(B22="",0,INDEX(Grades!$R$17:$T$22,MATCH(B22,Grades!$J49:$O49,0),2)*VLOOKUP('Ver1'!B21,Grades!$G49:$H68,2,FALSE))+(IF(B24="",0,INDEX(Grades!$R$17:$T$22,MATCH(B24,Grades!$J50:$O50,0),2)*VLOOKUP('Ver1'!B23,Grades!$G49:$H68,2,FALSE)))+(IF(B26="",0,INDEX(Grades!$R$17:$T$22,MATCH(B26,Grades!$J51:$O51,0),2)*IF(B25="",0,VLOOKUP('Ver1'!B25,Grades!$G49:$H68,2,FALSE))))+(IF(B28="",0,INDEX(Grades!$R$17:$T$22,MATCH(B28,Grades!$J52:$O52,0),2)*IF(B27="",0,VLOOKUP('Ver1'!B27,Grades!$G49:$H68,2,FALSE))))),0))),Grades!$S$17:$T$22,2,FALSE),"")</f>
        <v/>
      </c>
      <c r="C13" s="261" t="str">
        <f>_xlfn.IFNA(VLOOKUP(IF(B7="UNSIGNALIZED INTERSECTIONS",ROUND(((IF(C22="",0,INDEX(Grades!$R$17:$T$22,MATCH(C22,Grades!$J9:$O9,0),2))*VLOOKUP('Ver1'!C21,Grades!G5:I24,2,FALSE))+((IF(C24="",0,INDEX(Grades!$R$17:$T$22,MATCH(C24,Grades!$J10:$O10,0),2)))*VLOOKUP('Ver1'!C23,Grades!G5:I24,2,FALSE))+((IF(C26="",0,INDEX(Grades!$R$17:$T$22,MATCH(C26,Grades!$J11:$O11,0),2)))*IF(C25="",0,VLOOKUP('Ver1'!C25,Grades!G5:I24,2,FALSE)))+((IF(C28="",0,INDEX(Grades!$R$17:$T$22,MATCH(C28,Grades!$J12:$O12,0),2)))*IF(C27="",0,VLOOKUP('Ver1'!C27,Grades!G5:I24,2,FALSE)))),0),IF(B7="SIGNALIZED INTERSECTIONS",ROUND((IF(C22="",0,INDEX(Grades!$R$17:$T$22,MATCH(C22,Grades!$J31:$O31,0),2)*VLOOKUP('Ver1'!C21,Grades!G27:I46,2,FALSE))+(IF(C24="",0,INDEX(Grades!$R$17:$T$22,MATCH(C24,Grades!$J32:$O32,0),2)*VLOOKUP('Ver1'!C23,Grades!G27:I46,2,FALSE)))+(IF(C26="",0,INDEX(Grades!$R$17:$T$22,MATCH(C26,Grades!$J33:$O33,0),2))*IF(C25="",0,VLOOKUP('Ver1'!C25,Grades!G27:I46,2,FALSE)))+(IF(C28="",0,INDEX(Grades!$R$17:$T$22,MATCH(C28,Grades!$J34:$O34,0),2))*IF(C27="",0,VLOOKUP('Ver1'!C27,Grades!G27:I46,2,FALSE)))),0),ROUND((IF(C22="",0,INDEX(Grades!$R$17:$T$22,MATCH(C22,Grades!$J53:$O53,0),2)*VLOOKUP('Ver1'!C21,Grades!G49:I68,2,FALSE))+(IF(C24="",0,INDEX(Grades!$R$17:$T$22,MATCH(C24,Grades!$J54:$O54,0),2)*VLOOKUP('Ver1'!C23,Grades!G49:I68,2,FALSE)))+(IF(C26="",0,INDEX(Grades!$R$17:$T$22,MATCH(C26,Grades!$J55:$O55,0),2)*IF(C25="",0,VLOOKUP('Ver1'!C25,Grades!G49:I68,2,FALSE))))+(IF(C28="",0,INDEX(Grades!$R$17:$T$22,MATCH(C28,Grades!$J56:$O56,0),2)*IF(C27="",0,VLOOKUP('Ver1'!C27,Grades!G49:I68,2,FALSE))))),0))),Grades!$S$17:$T$22,2,FALSE),"")</f>
        <v/>
      </c>
      <c r="D13" s="261" t="str">
        <f>_xlfn.IFNA(VLOOKUP(IF(B7="UNSIGNALIZED INTERSECTIONS",ROUND(((IF(D22="",0,INDEX(Grades!$R$17:$T$22,MATCH(D22,Grades!$J13:$O13,0),2))*VLOOKUP('Ver1'!D21,Grades!$G5:$I24,2,FALSE))+((IF(D24="",0,INDEX(Grades!$R$17:$T$22,MATCH(D24,Grades!$J14:$O14,0),2)))*VLOOKUP('Ver1'!D23,Grades!$G5:$I24,2,FALSE))+((IF(D26="",0,INDEX(Grades!$R$17:$T$22,MATCH(D26,Grades!$J15:$O15,0),2)))*IF(D25="",0,VLOOKUP('Ver1'!D25,Grades!$G5:$I24,2,FALSE)))+((IF(D28="",0,INDEX(Grades!$R$17:$T$22,MATCH(D28,Grades!$J16:$O16,0),2)))*IF(D27="",0,VLOOKUP('Ver1'!D27,Grades!$G5:$I24,2,FALSE)))),0),IF(B7="SIGNALIZED INTERSECTIONS",ROUND((IF(D22="",0,INDEX(Grades!$R$17:$T$22,MATCH(D22,Grades!$J35:$O35,0),2)*VLOOKUP('Ver1'!D21,Grades!$G27:$H46,2,FALSE))+(IF(D24="",0,INDEX(Grades!$R$17:$T$22,MATCH(D24,Grades!$J36:$O36,0),2)*VLOOKUP('Ver1'!D23,Grades!$G27:$H46,2,FALSE)))+(IF(D26="",0,INDEX(Grades!$R$17:$T$22,MATCH(D26,Grades!$J37:$O37,0),2))*IF(D25="",0,VLOOKUP('Ver1'!D25,Grades!$G27:$H46,2,FALSE)))+(IF(D28="",0,INDEX(Grades!$R$17:$T$22,MATCH(D28,Grades!$J38:$O38,0),2))*IF(D27="",0,VLOOKUP('Ver1'!D27,Grades!$G27:$H46,2,FALSE)))),0),ROUND((IF(D22="",0,INDEX(Grades!$R$17:$T$22,MATCH(D22,Grades!$J57:$O57,0),2)*VLOOKUP('Ver1'!D21,Grades!$G49:$H68,2,FALSE))+(IF(D24="",0,INDEX(Grades!$R$17:$T$22,MATCH(D24,Grades!$J58:$O58,0),2)*VLOOKUP('Ver1'!D23,Grades!$G49:$H68,2,FALSE)))+(IF(D26="",0,INDEX(Grades!$R$17:$T$22,MATCH(D26,Grades!$J59:$O59,0),2)*IF(D25="",0,VLOOKUP('Ver1'!D25,Grades!$G49:$H68,2,FALSE))))+(IF(D28="",0,INDEX(Grades!$R$17:$T$22,MATCH(D28,Grades!$J60:$O60,0),2)*IF(D27="",0,VLOOKUP('Ver1'!D27,Grades!$G49:$H68,2,FALSE))))),0))),Grades!$S$17:$T$22,2,FALSE),"")</f>
        <v/>
      </c>
      <c r="E13" s="261" t="str">
        <f>_xlfn.IFNA(VLOOKUP(IF(B7="UNSIGNALIZED INTERSECTIONS",ROUND(((IF(E22="",0,INDEX(Grades!$R$17:$T$22,MATCH(E22,Grades!$J17:$O17,0),2))*VLOOKUP('Ver1'!E21,Grades!$G5:$I24,2,FALSE))+((IF(E24="",0,INDEX(Grades!$R$17:$T$22,MATCH(E24,Grades!$J18:$O18,0),2)))*VLOOKUP('Ver1'!E23,Grades!$G5:$I24,2,FALSE))+((IF(E26="",0,INDEX(Grades!$R$17:$T$22,MATCH(E26,Grades!$J19:$O19,0),2)))*IF(E25="",0,VLOOKUP('Ver1'!E25,Grades!$G5:$I24,2,FALSE)))+((IF(E28="",0,INDEX(Grades!$R$17:$T$22,MATCH(E28,Grades!$J20:$O20,0),2)))*IF(E27="",0,VLOOKUP('Ver1'!E27,Grades!$G5:$I24,2,FALSE)))),0),IF(B7="SIGNALIZED INTERSECTIONS",ROUND((IF(E22="",0,INDEX(Grades!$R$17:$T$22,MATCH(E22,Grades!$J39:$O39,0),2)*VLOOKUP('Ver1'!E21,Grades!$G27:$H46,2,FALSE))+(IF(E24="",0,INDEX(Grades!$R$17:$T$22,MATCH(E24,Grades!$J40:$O40,0),2)*VLOOKUP('Ver1'!E23,Grades!$G27:$H46,2,FALSE)))+(IF(E26="",0,INDEX(Grades!$R$17:$T$22,MATCH(E26,Grades!$J41:$O41,0),2))*IF(E25="",0,VLOOKUP('Ver1'!E25,Grades!$G27:$H46,2,FALSE)))+(IF(E28="",0,INDEX(Grades!$R$17:$T$22,MATCH(E28,Grades!$J42:$O42,0),2))*IF(E27="",0,VLOOKUP('Ver1'!E27,Grades!$G27:$H46,2,FALSE)))),0),ROUND((IF(E22="",0,INDEX(Grades!$R$17:$T$22,MATCH(E22,Grades!$J61:$O61,0),2)*VLOOKUP('Ver1'!E21,Grades!$G49:$H68,2,FALSE))+(IF(E24="",0,INDEX(Grades!$R$17:$T$22,MATCH(E24,Grades!$J62:$O62,0),2)*VLOOKUP('Ver1'!E23,Grades!$G49:$H68,2,FALSE)))+(IF(E26="",0,INDEX(Grades!$R$17:$T$22,MATCH(E26,Grades!$J63:$O63,0),2)*IF(E25="",0,VLOOKUP('Ver1'!E25,Grades!$G49:$H68,2,FALSE))))+(IF(E28="",0,INDEX(Grades!$R$17:$T$22,MATCH(E28,Grades!$J64:$O64,0),2)*IF(E27="",0,VLOOKUP('Ver1'!E27,Grades!$G49:$H68,2,FALSE))))),0))),Grades!$S$17:$T$22,2,FALSE),"")</f>
        <v/>
      </c>
      <c r="F13" s="307" t="str">
        <f>_xlfn.IFNA(VLOOKUP(IF(B7="UNSIGNALIZED INTERSECTIONS",ROUND(((IF(F22="",0,INDEX(Grades!$R$17:$T$22,MATCH(F22,Grades!$J21:$O21,0),2))*VLOOKUP('Ver1'!F21,Grades!$G5:$I24,2,FALSE))+((IF(F24="",0,INDEX(Grades!$R$17:$T$22,MATCH(F24,Grades!$J22:$O22,0),2)))*VLOOKUP('Ver1'!F23,Grades!$G5:$I24,2,FALSE))+((IF(F26="",0,INDEX(Grades!$R$17:$T$22,MATCH(F26,Grades!$J23:$O23,0),2)))*IF(F25="",0,VLOOKUP('Ver1'!F25,Grades!$G5:$I24,2,FALSE)))+((IF(F28="",0,INDEX(Grades!$R$17:$T$22,MATCH(F28,Grades!$J24:$O24,0),2)))*IF(F27="",0,VLOOKUP('Ver1'!F27,Grades!$G5:$I24,2,FALSE)))),0),IF(B7="SIGNALIZED INTERSECTIONS",ROUND((IF(F22="",0,INDEX(Grades!$R$17:$T$22,MATCH(F22,Grades!$J43:$O43,0),2)*VLOOKUP('Ver1'!F21,Grades!$G27:$H46,2,FALSE))+(IF(F24="",0,INDEX(Grades!$R$17:$T$22,MATCH(F24,Grades!$J44:$O44,0),2)*VLOOKUP('Ver1'!F23,Grades!$G27:$H46,2,FALSE)))+(IF(F26="",0,INDEX(Grades!$R$17:$T$22,MATCH(F26,Grades!$J45:$O45,0),2))*IF(F25="",0,VLOOKUP('Ver1'!F25,Grades!$G27:$H46,2,FALSE)))+(IF(F28="",0,INDEX(Grades!$R$17:$T$22,MATCH(F28,Grades!$J46:$O46,0),2))*IF(F27="",0,VLOOKUP('Ver1'!F27,Grades!$G27:$H46,2,FALSE)))),0),ROUND((IF(F22="",0,INDEX(Grades!$R$17:$T$22,MATCH(F22,Grades!$J65:$O65,0),2)*VLOOKUP('Ver1'!F21,Grades!$G49:$H68,2,FALSE))+(IF(F24="",0,INDEX(Grades!$R$17:$T$22,MATCH(F24,Grades!$J66:$O66,0),2)*VLOOKUP('Ver1'!F23,Grades!$G49:$H68,2,FALSE)))+(IF(F26="",0,INDEX(Grades!$R$17:$T$22,MATCH(F26,Grades!$J67:$O67,0),2)*IF(F25="",0,VLOOKUP('Ver1'!F25,Grades!$G49:$H68,2,FALSE))))+(IF(F28="",0,INDEX(Grades!$R$17:$T$22,MATCH(F28,Grades!$J68:$O68,0),2)*IF(F27="",0,VLOOKUP('Ver1'!F27,Grades!$G49:$H68,2,FALSE))))),0))),Grades!$S$17:$T$22,2,FALSE),"")</f>
        <v/>
      </c>
    </row>
    <row r="14" spans="1:13" ht="23.55" customHeight="1" thickTop="1" thickBot="1" x14ac:dyDescent="0.35">
      <c r="A14" s="402" t="s">
        <v>246</v>
      </c>
      <c r="B14" s="403"/>
      <c r="C14" s="403"/>
      <c r="D14" s="403"/>
      <c r="E14" s="403"/>
      <c r="F14" s="404"/>
    </row>
    <row r="15" spans="1:13" ht="79.95" customHeight="1" thickTop="1" thickBot="1" x14ac:dyDescent="0.35">
      <c r="A15" s="406" t="str">
        <f>IF(B7="SEGMENTS",'AT Check'!B5,'AT Check'!B7)</f>
        <v>Are marked pedestrian crossings provided to connect all approaching pedestrian facilities?</v>
      </c>
      <c r="B15" s="407"/>
      <c r="C15" s="407"/>
      <c r="D15" s="407"/>
      <c r="E15" s="408"/>
      <c r="F15" s="303" t="s">
        <v>20</v>
      </c>
    </row>
    <row r="16" spans="1:13" ht="79.95" customHeight="1" thickTop="1" thickBot="1" x14ac:dyDescent="0.35">
      <c r="A16" s="406" t="str">
        <f>IF(B7="SEGMENTS",'AT Check'!B6,'AT Check'!B8)</f>
        <v>Does the approaching bike facility continue at a consistent width up to the edge of the intersection (crosswalk or curb edge of intersecting roadway)?</v>
      </c>
      <c r="B16" s="407"/>
      <c r="C16" s="407"/>
      <c r="D16" s="407"/>
      <c r="E16" s="408"/>
      <c r="F16" s="303" t="s">
        <v>20</v>
      </c>
    </row>
    <row r="17" spans="1:7" ht="79.95" customHeight="1" thickTop="1" thickBot="1" x14ac:dyDescent="0.35">
      <c r="A17" s="406" t="str">
        <f>IF(B7="SEGMENTS","-",'AT Check'!B9)</f>
        <v>Is a continuous amount of space and accompanying pavement makings delineated for cyclists through the intersection?</v>
      </c>
      <c r="B17" s="407"/>
      <c r="C17" s="407"/>
      <c r="D17" s="407"/>
      <c r="E17" s="408"/>
      <c r="F17" s="303" t="s">
        <v>20</v>
      </c>
    </row>
    <row r="18" spans="1:7" ht="79.95" customHeight="1" thickTop="1" thickBot="1" x14ac:dyDescent="0.35">
      <c r="A18" s="409" t="str">
        <f>IF(B7="SEGMENTS","-",'AT Check'!B10)</f>
        <v>Does the intersection design provide features which facilitate all the intended turn movements for cyclists (e.g. bike boxes, queuing space, protected intersection, etc)?</v>
      </c>
      <c r="B18" s="410"/>
      <c r="C18" s="410"/>
      <c r="D18" s="410"/>
      <c r="E18" s="411"/>
      <c r="F18" s="302" t="s">
        <v>20</v>
      </c>
      <c r="G18" s="310"/>
    </row>
    <row r="19" spans="1:7" ht="79.95" customHeight="1" thickTop="1" thickBot="1" x14ac:dyDescent="0.35">
      <c r="A19" s="409" t="str">
        <f>IF(B8="SEGMENTS","-",'AT Check'!B11)</f>
        <v>Have Accessibility for Ontarians with Disabilities Act (AODA) and municipal accessibility 
standards (if applicable) been considered?</v>
      </c>
      <c r="B19" s="410"/>
      <c r="C19" s="410"/>
      <c r="D19" s="410"/>
      <c r="E19" s="411"/>
      <c r="F19" s="302" t="s">
        <v>20</v>
      </c>
      <c r="G19" s="310"/>
    </row>
    <row r="20" spans="1:7" ht="30" customHeight="1" thickTop="1" x14ac:dyDescent="0.3">
      <c r="A20" s="405" t="s">
        <v>247</v>
      </c>
      <c r="B20" s="405"/>
      <c r="C20" s="405"/>
      <c r="D20" s="405"/>
      <c r="E20" s="405"/>
      <c r="F20" s="405"/>
      <c r="G20" s="310"/>
    </row>
    <row r="21" spans="1:7" ht="49.95" customHeight="1" x14ac:dyDescent="0.3">
      <c r="A21" s="399" t="s">
        <v>228</v>
      </c>
      <c r="B21" s="314" t="str">
        <f>IF(B7="SIGNALIZED INTERSECTIONS",Grades!G27,IF(B7="UNSIGNALIZED INTERSECTIONS",Grades!G5,Grades!G49))</f>
        <v>Average Crossing Distance (m)</v>
      </c>
      <c r="C21" s="314" t="str">
        <f>IF(B7="UNSIGNALIZED INTERSECTIONS",Grades!G9,IF(B7="SIGNALIZED INTERSECTIONS",Grades!G31,Grades!G53))</f>
        <v>Presence of Bicycle Facilities</v>
      </c>
      <c r="D21" s="314" t="str">
        <f>IF($B$7="UNSIGNALIZED INTERSECTIONS",Grades!G13,IF($B$7="SIGNALIZED INTERSECTIONS",Grades!$G$35,Grades!$G$57))</f>
        <v xml:space="preserve">Transit Movement Delay (s) </v>
      </c>
      <c r="E21" s="314" t="str">
        <f>IF($B$7="UNSIGNALIZED INTERSECTIONS",Grades!G17,IF($B$7="SIGNALIZED INTERSECTIONS",Grades!$G$39,Grades!$G$61))</f>
        <v xml:space="preserve">Average Effective Turning Radius 
(m) </v>
      </c>
      <c r="F21" s="314" t="str">
        <f>IF($B$7="UNSIGNALIZED INTERSECTIONS",Grades!G21,IF($B$7="SIGNALIZED INTERSECTIONS",Grades!$G$43,Grades!$G$65))</f>
        <v xml:space="preserve">Intersection Delay (s) </v>
      </c>
    </row>
    <row r="22" spans="1:7" ht="49.95" customHeight="1" x14ac:dyDescent="0.3">
      <c r="A22" s="399"/>
      <c r="B22" s="295"/>
      <c r="C22" s="295"/>
      <c r="D22" s="295"/>
      <c r="E22" s="295"/>
      <c r="F22" s="295"/>
    </row>
    <row r="23" spans="1:7" ht="49.95" customHeight="1" x14ac:dyDescent="0.3">
      <c r="A23" s="399" t="s">
        <v>229</v>
      </c>
      <c r="B23" s="314" t="str">
        <f>IF(B7="SIGNALIZED INTERSECTIONS",Grades!G28,IF(B7="UNSIGNALIZED INTERSECTIONS",Grades!G6,Grades!G50))</f>
        <v>Marked Crossings</v>
      </c>
      <c r="C23" s="314" t="str">
        <f>IF(B7="SIGNALIZED INTERSECTIONS",Grades!G32,IF(B7="UNSIGNALIZED INTERSECTIONS",Grades!G10,Grades!G54))</f>
        <v xml:space="preserve">Requirement to stop </v>
      </c>
      <c r="D23" s="314" t="str">
        <f>IF($B$7="UNSIGNALIZED INTERSECTIONS",Grades!G14,IF($B$7="SIGNALIZED INTERSECTIONS",Grades!$G$36,Grades!$G$58))</f>
        <v>Pedestrian Level of Service</v>
      </c>
      <c r="E23" s="314" t="str">
        <f>IF($B$7="UNSIGNALIZED INTERSECTIONS",Grades!G18,IF($B$7="SIGNALIZED INTERSECTIONS",Grades!$G$40,Grades!$G$62))</f>
        <v xml:space="preserve">Car Level of Service </v>
      </c>
      <c r="F23" s="314" t="str">
        <f>IF($B$7="UNSIGNALIZED INTERSECTIONS",Grades!G22,IF($B$7="SIGNALIZED INTERSECTIONS",Grades!$G$44,Grades!$G$66))</f>
        <v>-</v>
      </c>
    </row>
    <row r="24" spans="1:7" ht="56.4" customHeight="1" x14ac:dyDescent="0.3">
      <c r="A24" s="399"/>
      <c r="B24" s="295"/>
      <c r="C24" s="295"/>
      <c r="D24" s="295"/>
      <c r="E24" s="295"/>
      <c r="F24" s="295"/>
    </row>
    <row r="25" spans="1:7" ht="49.95" customHeight="1" x14ac:dyDescent="0.3">
      <c r="A25" s="399" t="s">
        <v>230</v>
      </c>
      <c r="B25" s="314" t="str">
        <f>IF(B7="SIGNALIZED INTERSECTIONS",Grades!G29,IF(B7="UNSIGNALIZED INTERSECTIONS",Grades!G7,Grades!G51))</f>
        <v xml:space="preserve">Average Effective Turning Radius 
(m) </v>
      </c>
      <c r="C25" s="314" t="str">
        <f>IF(B7="SIGNALIZED INTERSECTIONS",Grades!G33,IF(B7="UNSIGNALIZED INTERSECTIONS",Grades!G11,Grades!G55))</f>
        <v xml:space="preserve">Average Effective Turning Radius 
(m) </v>
      </c>
      <c r="D25" s="314" t="str">
        <f>IF($B$7="UNSIGNALIZED INTERSECTIONS",Grades!G15,IF($B$7="SIGNALIZED INTERSECTIONS",Grades!$G$37,Grades!$G$59))</f>
        <v>-</v>
      </c>
      <c r="E25" s="314" t="str">
        <f>IF($B$7="UNSIGNALIZED INTERSECTIONS",Grades!G19,IF($B$7="SIGNALIZED INTERSECTIONS",Grades!$G$41,Grades!$G$63))</f>
        <v>-</v>
      </c>
      <c r="F25" s="314" t="str">
        <f>IF($B$7="UNSIGNALIZED INTERSECTIONS",Grades!G23,IF($B$7="SIGNALIZED INTERSECTIONS",Grades!$G$45,Grades!$G$67))</f>
        <v>-</v>
      </c>
      <c r="G25" s="313"/>
    </row>
    <row r="26" spans="1:7" ht="57.6" customHeight="1" x14ac:dyDescent="0.3">
      <c r="A26" s="399"/>
      <c r="B26" s="295"/>
      <c r="C26" s="295"/>
      <c r="D26" s="295"/>
      <c r="E26" s="295"/>
      <c r="F26" s="295"/>
    </row>
    <row r="27" spans="1:7" ht="49.95" customHeight="1" x14ac:dyDescent="0.3">
      <c r="A27" s="399" t="s">
        <v>231</v>
      </c>
      <c r="B27" s="312" t="str">
        <f>IF(B7="SIGNALIZED INTERSECTIONS",Grades!G30,IF(B7="UNSIGNALIZED INTERSECTIONS","",""))</f>
        <v/>
      </c>
      <c r="C27" s="312" t="str">
        <f>IF(B7="SIGNALIZED INTERSECTIONS",Grades!G34,IF(B7="UNSIGNALIZED INTERSECTIONS",Grades!G12,Grades!G56))</f>
        <v>-</v>
      </c>
      <c r="D27" s="312" t="str">
        <f>IF($B$7="UNSIGNALIZED INTERSECTIONS",Grades!G16,IF($B$7="SIGNALIZED INTERSECTIONS",Grades!$G$38,Grades!$G$60))</f>
        <v>-</v>
      </c>
      <c r="E27" s="312" t="str">
        <f>IF($B$7="UNSIGNALIZED INTERSECTIONS",Grades!G20,IF($B$7="SIGNALIZED INTERSECTIONS",Grades!$G$42,Grades!$G$64))</f>
        <v>-</v>
      </c>
      <c r="F27" s="312" t="str">
        <f>IF($B$7="UNSIGNALIZED INTERSECTIONS",Grades!G24,IF($B$7="SIGNALIZED INTERSECTIONS",Grades!$G$46,Grades!$G$68))</f>
        <v>-</v>
      </c>
    </row>
    <row r="28" spans="1:7" ht="49.95" customHeight="1" x14ac:dyDescent="0.3">
      <c r="A28" s="399"/>
      <c r="B28" s="295"/>
      <c r="C28" s="295"/>
      <c r="D28" s="295"/>
      <c r="E28" s="295"/>
      <c r="F28" s="295"/>
    </row>
    <row r="29" spans="1:7" x14ac:dyDescent="0.3">
      <c r="A29" s="313"/>
    </row>
  </sheetData>
  <mergeCells count="15">
    <mergeCell ref="B3:F3"/>
    <mergeCell ref="B4:F4"/>
    <mergeCell ref="A6:F6"/>
    <mergeCell ref="A25:A26"/>
    <mergeCell ref="A27:A28"/>
    <mergeCell ref="B7:F7"/>
    <mergeCell ref="A21:A22"/>
    <mergeCell ref="A23:A24"/>
    <mergeCell ref="A14:F14"/>
    <mergeCell ref="A20:F20"/>
    <mergeCell ref="A15:E15"/>
    <mergeCell ref="A16:E16"/>
    <mergeCell ref="A17:E17"/>
    <mergeCell ref="A18:E18"/>
    <mergeCell ref="A19:E19"/>
  </mergeCells>
  <conditionalFormatting sqref="A5:F5 A4:B4 B1:F1 A8:A18 A20">
    <cfRule type="cellIs" dxfId="640" priority="613" operator="equal">
      <formula>"F"</formula>
    </cfRule>
    <cfRule type="cellIs" dxfId="639" priority="614" operator="equal">
      <formula>"E"</formula>
    </cfRule>
    <cfRule type="cellIs" dxfId="638" priority="615" operator="equal">
      <formula>"D"</formula>
    </cfRule>
    <cfRule type="cellIs" dxfId="637" priority="616" operator="equal">
      <formula>"C"</formula>
    </cfRule>
    <cfRule type="cellIs" dxfId="636" priority="617" operator="equal">
      <formula>"B"</formula>
    </cfRule>
    <cfRule type="cellIs" dxfId="635" priority="618" operator="equal">
      <formula>"A"</formula>
    </cfRule>
  </conditionalFormatting>
  <conditionalFormatting sqref="A3">
    <cfRule type="cellIs" dxfId="634" priority="601" operator="equal">
      <formula>"F"</formula>
    </cfRule>
    <cfRule type="cellIs" dxfId="633" priority="602" operator="equal">
      <formula>"E"</formula>
    </cfRule>
    <cfRule type="cellIs" dxfId="632" priority="603" operator="equal">
      <formula>"D"</formula>
    </cfRule>
    <cfRule type="cellIs" dxfId="631" priority="604" operator="equal">
      <formula>"C"</formula>
    </cfRule>
    <cfRule type="cellIs" dxfId="630" priority="605" operator="equal">
      <formula>"B"</formula>
    </cfRule>
    <cfRule type="cellIs" dxfId="629" priority="606" operator="equal">
      <formula>"A"</formula>
    </cfRule>
  </conditionalFormatting>
  <conditionalFormatting sqref="B3">
    <cfRule type="cellIs" dxfId="628" priority="595" operator="equal">
      <formula>"F"</formula>
    </cfRule>
    <cfRule type="cellIs" dxfId="627" priority="596" operator="equal">
      <formula>"E"</formula>
    </cfRule>
    <cfRule type="cellIs" dxfId="626" priority="597" operator="equal">
      <formula>"D"</formula>
    </cfRule>
    <cfRule type="cellIs" dxfId="625" priority="598" operator="equal">
      <formula>"C"</formula>
    </cfRule>
    <cfRule type="cellIs" dxfId="624" priority="599" operator="equal">
      <formula>"B"</formula>
    </cfRule>
    <cfRule type="cellIs" dxfId="623" priority="600" operator="equal">
      <formula>"A"</formula>
    </cfRule>
  </conditionalFormatting>
  <conditionalFormatting sqref="A6:A7">
    <cfRule type="cellIs" dxfId="622" priority="589" operator="equal">
      <formula>"F"</formula>
    </cfRule>
    <cfRule type="cellIs" dxfId="621" priority="590" operator="equal">
      <formula>"E"</formula>
    </cfRule>
    <cfRule type="cellIs" dxfId="620" priority="591" operator="equal">
      <formula>"D"</formula>
    </cfRule>
    <cfRule type="cellIs" dxfId="619" priority="592" operator="equal">
      <formula>"C"</formula>
    </cfRule>
    <cfRule type="cellIs" dxfId="618" priority="593" operator="equal">
      <formula>"B"</formula>
    </cfRule>
    <cfRule type="cellIs" dxfId="617" priority="594" operator="equal">
      <formula>"A"</formula>
    </cfRule>
  </conditionalFormatting>
  <conditionalFormatting sqref="A1">
    <cfRule type="cellIs" dxfId="616" priority="529" operator="equal">
      <formula>"F"</formula>
    </cfRule>
    <cfRule type="cellIs" dxfId="615" priority="530" operator="equal">
      <formula>"E"</formula>
    </cfRule>
    <cfRule type="cellIs" dxfId="614" priority="531" operator="equal">
      <formula>"D"</formula>
    </cfRule>
    <cfRule type="cellIs" dxfId="613" priority="532" operator="equal">
      <formula>"C"</formula>
    </cfRule>
    <cfRule type="cellIs" dxfId="612" priority="533" operator="equal">
      <formula>"B"</formula>
    </cfRule>
    <cfRule type="cellIs" dxfId="611" priority="534" operator="equal">
      <formula>"A"</formula>
    </cfRule>
  </conditionalFormatting>
  <conditionalFormatting sqref="B10:F10 B12:F12">
    <cfRule type="expression" dxfId="610" priority="47">
      <formula>B9="None"</formula>
    </cfRule>
  </conditionalFormatting>
  <conditionalFormatting sqref="D13:E13 D2:E2">
    <cfRule type="expression" dxfId="609" priority="37">
      <formula>OR(D$15="No",OR(D$16="No",OR(D$17="No",OR(D$18="No"))))</formula>
    </cfRule>
  </conditionalFormatting>
  <conditionalFormatting sqref="A17 F17">
    <cfRule type="expression" dxfId="608" priority="33">
      <formula>$A$17="-"</formula>
    </cfRule>
  </conditionalFormatting>
  <conditionalFormatting sqref="A18 F18">
    <cfRule type="expression" dxfId="607" priority="32">
      <formula>$A$18="-"</formula>
    </cfRule>
  </conditionalFormatting>
  <conditionalFormatting sqref="A2">
    <cfRule type="cellIs" dxfId="606" priority="26" operator="equal">
      <formula>"F"</formula>
    </cfRule>
    <cfRule type="cellIs" dxfId="605" priority="27" operator="equal">
      <formula>"E"</formula>
    </cfRule>
    <cfRule type="cellIs" dxfId="604" priority="28" operator="equal">
      <formula>"D"</formula>
    </cfRule>
    <cfRule type="cellIs" dxfId="603" priority="29" operator="equal">
      <formula>"C"</formula>
    </cfRule>
    <cfRule type="cellIs" dxfId="602" priority="30" operator="equal">
      <formula>"B"</formula>
    </cfRule>
    <cfRule type="cellIs" dxfId="601" priority="31" operator="equal">
      <formula>"A"</formula>
    </cfRule>
  </conditionalFormatting>
  <conditionalFormatting sqref="F15">
    <cfRule type="expression" dxfId="600" priority="23">
      <formula>OR(AND(B$9&lt;&gt;"None",B$10=""),AND(B$11&lt;&gt;"None",B$12=""))</formula>
    </cfRule>
  </conditionalFormatting>
  <conditionalFormatting sqref="A9:F13 A15 F15:F18">
    <cfRule type="expression" dxfId="599" priority="19">
      <formula>$B$7=""</formula>
    </cfRule>
  </conditionalFormatting>
  <conditionalFormatting sqref="A16:A18">
    <cfRule type="expression" dxfId="598" priority="18">
      <formula>$B$7=""</formula>
    </cfRule>
  </conditionalFormatting>
  <conditionalFormatting sqref="A21:A28">
    <cfRule type="expression" dxfId="597" priority="17">
      <formula>$B$7=""</formula>
    </cfRule>
  </conditionalFormatting>
  <conditionalFormatting sqref="F16:F18">
    <cfRule type="expression" dxfId="596" priority="2374">
      <formula>OR(AND(C$9&lt;&gt;"None",C$10=""),AND(C$11&lt;&gt;"None",C$12=""))</formula>
    </cfRule>
  </conditionalFormatting>
  <conditionalFormatting sqref="F13 F2">
    <cfRule type="expression" dxfId="595" priority="2394">
      <formula>OR(#REF!="No",OR(#REF!="No",OR(#REF!="No",OR(#REF!="No"))))</formula>
    </cfRule>
  </conditionalFormatting>
  <conditionalFormatting sqref="B13 B2">
    <cfRule type="expression" dxfId="594" priority="2403">
      <formula>OR(F$15="No",OR($F$15="No",OR($F$15="No")))</formula>
    </cfRule>
  </conditionalFormatting>
  <conditionalFormatting sqref="C13 C2">
    <cfRule type="expression" dxfId="593" priority="2405">
      <formula>OR(C$15="No",OR(F$16="No",OR(F$17="No",OR(F$18="No"))))</formula>
    </cfRule>
  </conditionalFormatting>
  <conditionalFormatting sqref="A19">
    <cfRule type="cellIs" dxfId="592" priority="4" operator="equal">
      <formula>"F"</formula>
    </cfRule>
    <cfRule type="cellIs" dxfId="591" priority="5" operator="equal">
      <formula>"E"</formula>
    </cfRule>
    <cfRule type="cellIs" dxfId="590" priority="6" operator="equal">
      <formula>"D"</formula>
    </cfRule>
    <cfRule type="cellIs" dxfId="589" priority="7" operator="equal">
      <formula>"C"</formula>
    </cfRule>
    <cfRule type="cellIs" dxfId="588" priority="8" operator="equal">
      <formula>"B"</formula>
    </cfRule>
    <cfRule type="cellIs" dxfId="587" priority="9" operator="equal">
      <formula>"A"</formula>
    </cfRule>
  </conditionalFormatting>
  <conditionalFormatting sqref="A19 F19">
    <cfRule type="expression" dxfId="586" priority="3">
      <formula>$A$18="-"</formula>
    </cfRule>
  </conditionalFormatting>
  <conditionalFormatting sqref="F19">
    <cfRule type="expression" dxfId="585" priority="2">
      <formula>$B$7=""</formula>
    </cfRule>
  </conditionalFormatting>
  <conditionalFormatting sqref="A19">
    <cfRule type="expression" dxfId="584" priority="1">
      <formula>$B$7=""</formula>
    </cfRule>
  </conditionalFormatting>
  <conditionalFormatting sqref="F19">
    <cfRule type="expression" dxfId="583" priority="10">
      <formula>OR(AND(C$9&lt;&gt;"None",C$10=""),AND(C$11&lt;&gt;"None",C$12=""))</formula>
    </cfRule>
  </conditionalFormatting>
  <pageMargins left="0.7" right="0.7" top="0.75" bottom="0.75" header="0.3" footer="0.3"/>
  <pageSetup orientation="portrait" r:id="rId1"/>
  <ignoredErrors>
    <ignoredError sqref="B8:F8 B13:F13 B21:F21 B23:F23 B25:F25 B27:F27 B2:F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Grades!$R$9:$R$11</xm:f>
          </x14:formula1>
          <xm:sqref>B7:F7</xm:sqref>
        </x14:dataValidation>
        <x14:dataValidation type="list" allowBlank="1" showInputMessage="1" showErrorMessage="1">
          <x14:formula1>
            <xm:f>'AT Check'!$C$3:$D$3</xm:f>
          </x14:formula1>
          <xm:sqref>F15:F16</xm:sqref>
        </x14:dataValidation>
        <x14:dataValidation type="list" allowBlank="1" showInputMessage="1" showErrorMessage="1">
          <x14:formula1>
            <xm:f>Targets!$D$7:$D$15</xm:f>
          </x14:formula1>
          <xm:sqref>B4:F4</xm:sqref>
        </x14:dataValidation>
        <x14:dataValidation type="list" allowBlank="1" showInputMessage="1" showErrorMessage="1">
          <x14:formula1>
            <xm:f>IF($B$7="UNSIGNALIZED INTERSECTIONS","",IF($B$7="SIGNALIZED INTERSECTIONS",Grades!$J$30:$O$30,""))</xm:f>
          </x14:formula1>
          <xm:sqref>B28</xm:sqref>
        </x14:dataValidation>
        <x14:dataValidation type="list" allowBlank="1" showInputMessage="1" showErrorMessage="1">
          <x14:formula1>
            <xm:f>IF($B$7="UNSIGNALIZED INTERSECTIONS",Grades!$J$10:$O$10,IF($B$7="SIGNALIZED INTERSECTIONS",Grades!$J$32:$O$32,Grades!$J$54:$O$54))</xm:f>
          </x14:formula1>
          <xm:sqref>C24</xm:sqref>
        </x14:dataValidation>
        <x14:dataValidation type="list" allowBlank="1" showInputMessage="1" showErrorMessage="1">
          <x14:formula1>
            <xm:f>IF($B$7="UNSIGNALIZED INTERSECTIONS",Grades!$J$9:$O$9,IF($B$7="SIGNALIZED INTERSECTIONS",Grades!$J$31:$O$31,Grades!$J$53:$O$53))</xm:f>
          </x14:formula1>
          <xm:sqref>C22</xm:sqref>
        </x14:dataValidation>
        <x14:dataValidation type="list" allowBlank="1" showInputMessage="1" showErrorMessage="1">
          <x14:formula1>
            <xm:f>IF($B$7="UNSIGNALIZED INTERSECTIONS",Grades!$J$11:$O$11,IF($B$7="SIGNALIZED INTERSECTIONS",Grades!$J$33:$O$33,Grades!$J$55:$O$55))</xm:f>
          </x14:formula1>
          <xm:sqref>C26</xm:sqref>
        </x14:dataValidation>
        <x14:dataValidation type="list" allowBlank="1" showInputMessage="1" showErrorMessage="1">
          <x14:formula1>
            <xm:f>IF($B$7="UNSIGNALIZED INTERSECTIONS",Grades!$I$5:$O$5,IF($B$7="SIGNALIZED INTERSECTIONS",Grades!$I$27:$O$27,Grades!$I$49:$O$49))</xm:f>
          </x14:formula1>
          <xm:sqref>B22</xm:sqref>
        </x14:dataValidation>
        <x14:dataValidation type="list" allowBlank="1" showInputMessage="1" showErrorMessage="1">
          <x14:formula1>
            <xm:f>IF($B$7="UNSIGNALIZED INTERSECTIONS",Grades!$I$6:$O$6,IF($B$7="SIGNALIZED INTERSECTIONS",Grades!$I$28:$O$28,Grades!$I$50:$O$50))</xm:f>
          </x14:formula1>
          <xm:sqref>B24</xm:sqref>
        </x14:dataValidation>
        <x14:dataValidation type="list" allowBlank="1" showInputMessage="1" showErrorMessage="1">
          <x14:formula1>
            <xm:f>IF($B$7="UNSIGNALIZED INTERSECTIONS",Grades!$I$13:$O$13,IF($B$7="SIGNALIZED INTERSECTIONS",Grades!$I$35:$O$35,Grades!$I$57:$O$57))</xm:f>
          </x14:formula1>
          <xm:sqref>D22</xm:sqref>
        </x14:dataValidation>
        <x14:dataValidation type="list" allowBlank="1" showInputMessage="1" showErrorMessage="1">
          <x14:formula1>
            <xm:f>IF($B$7="UNSIGNALIZED INTERSECTIONS",Grades!$I$14:$O$14,IF($B$7="SIGNALIZED INTERSECTIONS",Grades!$I$36:$O$36,Grades!$I$58:$O$58))</xm:f>
          </x14:formula1>
          <xm:sqref>D24</xm:sqref>
        </x14:dataValidation>
        <x14:dataValidation type="list" allowBlank="1" showInputMessage="1" showErrorMessage="1">
          <x14:formula1>
            <xm:f>IF($B$7="UNSIGNALIZED INTERSECTIONS",Grades!$I$15:$O$15,IF($B$7="SIGNALIZED INTERSECTIONS",Grades!$I$37:$O$37,Grades!$I$59:$O$59))</xm:f>
          </x14:formula1>
          <xm:sqref>D26</xm:sqref>
        </x14:dataValidation>
        <x14:dataValidation type="list" allowBlank="1" showInputMessage="1" showErrorMessage="1">
          <x14:formula1>
            <xm:f>IF($B$7="UNSIGNALIZED INTERSECTIONS",Grades!$I$16:$O$16,IF($B$7="SIGNALIZED INTERSECTIONS",Grades!$I$38:$O$38,Grades!$I$60:$O$60))</xm:f>
          </x14:formula1>
          <xm:sqref>D28</xm:sqref>
        </x14:dataValidation>
        <x14:dataValidation type="list" allowBlank="1" showInputMessage="1" showErrorMessage="1">
          <x14:formula1>
            <xm:f>IF($B$7="UNSIGNALIZED INTERSECTIONS",Grades!$I$17:$O$17,IF($B$7="SIGNALIZED INTERSECTIONS",Grades!$I$39:$O$39,Grades!$I$61:$O$61))</xm:f>
          </x14:formula1>
          <xm:sqref>E22</xm:sqref>
        </x14:dataValidation>
        <x14:dataValidation type="list" allowBlank="1" showInputMessage="1" showErrorMessage="1">
          <x14:formula1>
            <xm:f>IF($B$7="UNSIGNALIZED INTERSECTIONS",Grades!$I$18:$O$18,IF($B$7="SIGNALIZED INTERSECTIONS",Grades!$I$40:$O$40,Grades!$I$62:$O$62))</xm:f>
          </x14:formula1>
          <xm:sqref>E24</xm:sqref>
        </x14:dataValidation>
        <x14:dataValidation type="list" allowBlank="1" showInputMessage="1" showErrorMessage="1">
          <x14:formula1>
            <xm:f>IF($B$7="UNSIGNALIZED INTERSECTIONS",Grades!$I$19:$O$19,IF($B$7="SIGNALIZED INTERSECTIONS",Grades!$I$41:$O$41,Grades!$I$63:$O$63))</xm:f>
          </x14:formula1>
          <xm:sqref>E26</xm:sqref>
        </x14:dataValidation>
        <x14:dataValidation type="list" allowBlank="1" showInputMessage="1" showErrorMessage="1">
          <x14:formula1>
            <xm:f>IF($B$7="UNSIGNALIZED INTERSECTIONS",Grades!$I$20:$O$20,IF($B$7="SIGNALIZED INTERSECTIONS",Grades!$I$42:$O$42,Grades!$I$64:$O$64))</xm:f>
          </x14:formula1>
          <xm:sqref>E28</xm:sqref>
        </x14:dataValidation>
        <x14:dataValidation type="list" allowBlank="1" showInputMessage="1" showErrorMessage="1">
          <x14:formula1>
            <xm:f>IF($B$7="UNSIGNALIZED INTERSECTIONS",Grades!$I$21:$O$21,IF($B$7="SIGNALIZED INTERSECTIONS",Grades!$I$43:$O$43,Grades!$I$65:$O$65))</xm:f>
          </x14:formula1>
          <xm:sqref>F22</xm:sqref>
        </x14:dataValidation>
        <x14:dataValidation type="list" allowBlank="1" showInputMessage="1" showErrorMessage="1">
          <x14:formula1>
            <xm:f>IF($B$7="UNSIGNALIZED INTERSECTIONS",Grades!$I$22:$O$22,IF($B$7="SIGNALIZED INTERSECTIONS",Grades!$I$44:$O$44,Grades!$I$66:$O$66))</xm:f>
          </x14:formula1>
          <xm:sqref>F24</xm:sqref>
        </x14:dataValidation>
        <x14:dataValidation type="list" allowBlank="1" showInputMessage="1" showErrorMessage="1">
          <x14:formula1>
            <xm:f>IF($B$7="UNSIGNALIZED INTERSECTIONS",Grades!$I$23:$O$23,IF($B$7="SIGNALIZED INTERSECTIONS",Grades!$I$45:$O$45,Grades!$I$67:$O$67))</xm:f>
          </x14:formula1>
          <xm:sqref>F26</xm:sqref>
        </x14:dataValidation>
        <x14:dataValidation type="list" allowBlank="1" showInputMessage="1" showErrorMessage="1">
          <x14:formula1>
            <xm:f>IF($B$7="UNSIGNALIZED INTERSECTIONS",Grades!$I$24:$O$24,IF($B$7="SIGNALIZED INTERSECTIONS",Grades!$I$46:$O$46,Grades!$I$68:$O$68))</xm:f>
          </x14:formula1>
          <xm:sqref>F28</xm:sqref>
        </x14:dataValidation>
        <x14:dataValidation type="list" allowBlank="1" showInputMessage="1" showErrorMessage="1">
          <x14:formula1>
            <xm:f>IF($B$7="UNSIGNALIZED INTERSECTIONS",Grades!$I$7:$O$7,IF($B$7="SIGNALIZED INTERSECTIONS",Grades!$I$29:$O$29,Grades!$I$51:$O$51))</xm:f>
          </x14:formula1>
          <xm:sqref>B26</xm:sqref>
        </x14:dataValidation>
        <x14:dataValidation type="list" allowBlank="1" showInputMessage="1" showErrorMessage="1">
          <x14:formula1>
            <xm:f>Targets!$L$6:$L$8</xm:f>
          </x14:formula1>
          <xm:sqref>B9:F9 B11:F11</xm:sqref>
        </x14:dataValidation>
        <x14:dataValidation type="list" allowBlank="1" showInputMessage="1" showErrorMessage="1">
          <x14:formula1>
            <xm:f>IF($B$7="UNSIGNALIZED INTERSECTIONS","",IF($B$7="SIGNALIZED INTERSECTIONS",Grades!$J$34:$O$34,""))</xm:f>
          </x14:formula1>
          <xm:sqref>C28</xm:sqref>
        </x14:dataValidation>
        <x14:dataValidation type="list" allowBlank="1" showInputMessage="1" showErrorMessage="1">
          <x14:formula1>
            <xm:f>IF($A$17="-",'AT Check'!$E$3:$E$7,'AT Check'!$C$3:$D$3)</xm:f>
          </x14:formula1>
          <xm:sqref>F17</xm:sqref>
        </x14:dataValidation>
        <x14:dataValidation type="list" allowBlank="1" showInputMessage="1" showErrorMessage="1">
          <x14:formula1>
            <xm:f>IF($A$18="-",'AT Check'!$E$3:$E$7,'AT Check'!$C$3:$D$3)</xm:f>
          </x14:formula1>
          <xm:sqref>F18:F19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123"/>
  <sheetViews>
    <sheetView workbookViewId="0"/>
  </sheetViews>
  <sheetFormatPr defaultColWidth="8.77734375" defaultRowHeight="14.4" x14ac:dyDescent="0.3"/>
  <cols>
    <col min="1" max="1" width="3.77734375" style="45" customWidth="1"/>
    <col min="2" max="2" width="14.21875" style="9" customWidth="1"/>
    <col min="3" max="3" width="32.21875" style="45" customWidth="1"/>
    <col min="4" max="4" width="20.21875" style="9" customWidth="1"/>
    <col min="5" max="5" width="14.77734375" style="9" customWidth="1"/>
    <col min="6" max="6" width="22.21875" style="9" customWidth="1"/>
    <col min="7" max="7" width="14" style="9" customWidth="1"/>
    <col min="8" max="10" width="8.77734375" style="45"/>
    <col min="11" max="11" width="26" style="45" customWidth="1"/>
    <col min="12" max="13" width="12.21875" style="9" customWidth="1"/>
    <col min="14" max="16384" width="8.77734375" style="45"/>
  </cols>
  <sheetData>
    <row r="1" spans="2:13" ht="7.5" customHeight="1" x14ac:dyDescent="0.3"/>
    <row r="2" spans="2:13" s="85" customFormat="1" ht="53.25" customHeight="1" x14ac:dyDescent="0.3">
      <c r="B2" s="71" t="s">
        <v>88</v>
      </c>
      <c r="D2" s="86"/>
      <c r="E2" s="86"/>
      <c r="F2" s="86"/>
      <c r="G2" s="86"/>
      <c r="L2" s="86"/>
      <c r="M2" s="86"/>
    </row>
    <row r="3" spans="2:13" ht="26.25" customHeight="1" x14ac:dyDescent="0.3">
      <c r="B3" s="116" t="s">
        <v>68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3" ht="15" customHeight="1" x14ac:dyDescent="0.3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2:13" s="46" customFormat="1" ht="18.75" customHeight="1" x14ac:dyDescent="0.3">
      <c r="B5" s="139" t="s">
        <v>69</v>
      </c>
      <c r="D5" s="11"/>
      <c r="E5" s="11"/>
      <c r="F5" s="11"/>
      <c r="G5" s="11"/>
      <c r="L5" s="11"/>
      <c r="M5" s="11"/>
    </row>
    <row r="6" spans="2:13" s="46" customFormat="1" ht="18.75" customHeight="1" thickBot="1" x14ac:dyDescent="0.35">
      <c r="B6" s="140">
        <v>1</v>
      </c>
      <c r="C6" s="141" t="s">
        <v>70</v>
      </c>
      <c r="D6" s="11"/>
      <c r="E6" s="11"/>
      <c r="F6" s="11"/>
      <c r="G6" s="11"/>
      <c r="K6" s="448" t="s">
        <v>63</v>
      </c>
      <c r="L6" s="449"/>
      <c r="M6" s="450"/>
    </row>
    <row r="7" spans="2:13" s="46" customFormat="1" ht="18.75" customHeight="1" thickTop="1" thickBot="1" x14ac:dyDescent="0.35">
      <c r="B7" s="140">
        <f t="shared" ref="B7:B13" si="0">B6+1</f>
        <v>2</v>
      </c>
      <c r="C7" s="141" t="s">
        <v>270</v>
      </c>
      <c r="D7" s="11"/>
      <c r="E7" s="11"/>
      <c r="F7" s="11"/>
      <c r="G7" s="11"/>
      <c r="K7" s="142" t="s">
        <v>59</v>
      </c>
      <c r="L7" s="143" t="s">
        <v>55</v>
      </c>
      <c r="M7" s="144" t="s">
        <v>18</v>
      </c>
    </row>
    <row r="8" spans="2:13" s="46" customFormat="1" ht="18.75" customHeight="1" thickTop="1" thickBot="1" x14ac:dyDescent="0.35">
      <c r="B8" s="140">
        <f t="shared" si="0"/>
        <v>3</v>
      </c>
      <c r="C8" s="141" t="s">
        <v>71</v>
      </c>
      <c r="D8" s="11"/>
      <c r="E8" s="11"/>
      <c r="F8" s="11"/>
      <c r="G8" s="11"/>
      <c r="K8" s="145" t="s">
        <v>64</v>
      </c>
      <c r="L8" s="169">
        <v>10</v>
      </c>
      <c r="M8" s="170">
        <v>5</v>
      </c>
    </row>
    <row r="9" spans="2:13" s="46" customFormat="1" ht="18.75" customHeight="1" x14ac:dyDescent="0.3">
      <c r="B9" s="140">
        <f t="shared" si="0"/>
        <v>4</v>
      </c>
      <c r="C9" s="141" t="s">
        <v>72</v>
      </c>
      <c r="D9" s="11"/>
      <c r="E9" s="11"/>
      <c r="F9" s="11"/>
      <c r="G9" s="11"/>
      <c r="K9" s="146" t="s">
        <v>50</v>
      </c>
      <c r="L9" s="171">
        <v>10</v>
      </c>
      <c r="M9" s="172">
        <v>5</v>
      </c>
    </row>
    <row r="10" spans="2:13" s="46" customFormat="1" ht="18.75" customHeight="1" x14ac:dyDescent="0.3">
      <c r="B10" s="140">
        <f t="shared" si="0"/>
        <v>5</v>
      </c>
      <c r="C10" s="141" t="s">
        <v>73</v>
      </c>
      <c r="D10" s="11"/>
      <c r="E10" s="11"/>
      <c r="F10" s="11"/>
      <c r="G10" s="11"/>
      <c r="K10" s="147" t="s">
        <v>51</v>
      </c>
      <c r="L10" s="173">
        <v>6</v>
      </c>
      <c r="M10" s="174">
        <v>5</v>
      </c>
    </row>
    <row r="11" spans="2:13" s="46" customFormat="1" ht="18.75" customHeight="1" x14ac:dyDescent="0.3">
      <c r="B11" s="140">
        <f t="shared" si="0"/>
        <v>6</v>
      </c>
      <c r="C11" s="141" t="s">
        <v>74</v>
      </c>
      <c r="D11" s="11"/>
      <c r="E11" s="11"/>
      <c r="F11" s="11"/>
      <c r="G11" s="11"/>
      <c r="K11" s="147" t="s">
        <v>52</v>
      </c>
      <c r="L11" s="173">
        <v>2</v>
      </c>
      <c r="M11" s="174">
        <v>2</v>
      </c>
    </row>
    <row r="12" spans="2:13" s="46" customFormat="1" ht="18.75" customHeight="1" x14ac:dyDescent="0.3">
      <c r="B12" s="140">
        <f t="shared" si="0"/>
        <v>7</v>
      </c>
      <c r="C12" s="141" t="s">
        <v>75</v>
      </c>
      <c r="D12" s="11"/>
      <c r="E12" s="11"/>
      <c r="F12" s="11"/>
      <c r="G12" s="11"/>
      <c r="K12" s="147" t="s">
        <v>53</v>
      </c>
      <c r="L12" s="173">
        <v>0</v>
      </c>
      <c r="M12" s="174">
        <v>0</v>
      </c>
    </row>
    <row r="13" spans="2:13" s="46" customFormat="1" ht="18.75" customHeight="1" x14ac:dyDescent="0.3">
      <c r="B13" s="140">
        <f t="shared" si="0"/>
        <v>8</v>
      </c>
      <c r="C13" s="141" t="s">
        <v>76</v>
      </c>
      <c r="D13" s="11"/>
      <c r="E13" s="11"/>
      <c r="F13" s="11"/>
      <c r="G13" s="11"/>
      <c r="K13" s="149" t="s">
        <v>54</v>
      </c>
      <c r="L13" s="175">
        <v>-2</v>
      </c>
      <c r="M13" s="176">
        <v>-1</v>
      </c>
    </row>
    <row r="14" spans="2:13" s="46" customFormat="1" ht="15.6" x14ac:dyDescent="0.3">
      <c r="B14" s="139"/>
      <c r="D14" s="11"/>
      <c r="E14" s="11"/>
      <c r="F14" s="11"/>
      <c r="G14" s="11"/>
      <c r="K14" s="121"/>
      <c r="L14" s="120"/>
      <c r="M14" s="120"/>
    </row>
    <row r="15" spans="2:13" s="151" customFormat="1" ht="41.25" customHeight="1" thickBot="1" x14ac:dyDescent="0.35">
      <c r="B15" s="451" t="s">
        <v>122</v>
      </c>
      <c r="C15" s="452"/>
      <c r="D15" s="452"/>
      <c r="E15" s="452"/>
      <c r="F15" s="452"/>
      <c r="G15" s="453"/>
    </row>
    <row r="16" spans="2:13" s="47" customFormat="1" ht="33.75" customHeight="1" thickTop="1" x14ac:dyDescent="0.3">
      <c r="B16" s="152" t="s">
        <v>56</v>
      </c>
      <c r="C16" s="153" t="s">
        <v>57</v>
      </c>
      <c r="D16" s="152" t="s">
        <v>17</v>
      </c>
      <c r="E16" s="154" t="s">
        <v>58</v>
      </c>
      <c r="F16" s="154" t="s">
        <v>59</v>
      </c>
      <c r="G16" s="155" t="s">
        <v>60</v>
      </c>
    </row>
    <row r="17" spans="2:13" s="130" customFormat="1" ht="22.5" customHeight="1" x14ac:dyDescent="0.3">
      <c r="B17" s="161">
        <v>1</v>
      </c>
      <c r="C17" s="229" t="s">
        <v>77</v>
      </c>
      <c r="D17" s="148" t="s">
        <v>18</v>
      </c>
      <c r="E17" s="162">
        <f t="shared" ref="E17:E22" si="1">IF(D17="","",HLOOKUP(D17,$L$7:$M$13,2,FALSE))</f>
        <v>5</v>
      </c>
      <c r="F17" s="163" t="s">
        <v>53</v>
      </c>
      <c r="G17" s="164">
        <f t="shared" ref="G17:G22" si="2">IF(F17="","",IF(D17=$L$7,VLOOKUP(F17,$K$8:$L$13,2,FALSE),VLOOKUP(F17,$K$8:$M$13,3,FALSE)))</f>
        <v>0</v>
      </c>
    </row>
    <row r="18" spans="2:13" s="130" customFormat="1" ht="22.5" customHeight="1" x14ac:dyDescent="0.3">
      <c r="B18" s="161">
        <v>2</v>
      </c>
      <c r="C18" s="229" t="s">
        <v>78</v>
      </c>
      <c r="D18" s="148" t="s">
        <v>18</v>
      </c>
      <c r="E18" s="162">
        <f t="shared" si="1"/>
        <v>5</v>
      </c>
      <c r="F18" s="163" t="s">
        <v>53</v>
      </c>
      <c r="G18" s="164">
        <f t="shared" si="2"/>
        <v>0</v>
      </c>
    </row>
    <row r="19" spans="2:13" s="130" customFormat="1" ht="22.5" customHeight="1" x14ac:dyDescent="0.3">
      <c r="B19" s="161">
        <v>3</v>
      </c>
      <c r="C19" s="229" t="s">
        <v>79</v>
      </c>
      <c r="D19" s="148" t="s">
        <v>18</v>
      </c>
      <c r="E19" s="162">
        <f t="shared" si="1"/>
        <v>5</v>
      </c>
      <c r="F19" s="163" t="s">
        <v>53</v>
      </c>
      <c r="G19" s="164">
        <f t="shared" si="2"/>
        <v>0</v>
      </c>
    </row>
    <row r="20" spans="2:13" s="130" customFormat="1" ht="22.5" customHeight="1" x14ac:dyDescent="0.3">
      <c r="B20" s="161">
        <v>4</v>
      </c>
      <c r="C20" s="229" t="s">
        <v>80</v>
      </c>
      <c r="D20" s="148" t="s">
        <v>18</v>
      </c>
      <c r="E20" s="162">
        <f t="shared" si="1"/>
        <v>5</v>
      </c>
      <c r="F20" s="163" t="s">
        <v>53</v>
      </c>
      <c r="G20" s="164">
        <f t="shared" si="2"/>
        <v>0</v>
      </c>
    </row>
    <row r="21" spans="2:13" s="130" customFormat="1" ht="22.5" customHeight="1" x14ac:dyDescent="0.3">
      <c r="B21" s="161">
        <v>5</v>
      </c>
      <c r="C21" s="229"/>
      <c r="D21" s="148"/>
      <c r="E21" s="162" t="str">
        <f>IF(D21="","",HLOOKUP(D21,$L$7:$M$13,2,FALSE))</f>
        <v/>
      </c>
      <c r="F21" s="163"/>
      <c r="G21" s="164" t="str">
        <f t="shared" si="2"/>
        <v/>
      </c>
    </row>
    <row r="22" spans="2:13" s="130" customFormat="1" ht="22.5" customHeight="1" thickBot="1" x14ac:dyDescent="0.35">
      <c r="B22" s="165">
        <v>6</v>
      </c>
      <c r="C22" s="230"/>
      <c r="D22" s="150"/>
      <c r="E22" s="166" t="str">
        <f t="shared" si="1"/>
        <v/>
      </c>
      <c r="F22" s="167"/>
      <c r="G22" s="168" t="str">
        <f t="shared" si="2"/>
        <v/>
      </c>
    </row>
    <row r="23" spans="2:13" s="75" customFormat="1" ht="33.75" customHeight="1" thickTop="1" thickBot="1" x14ac:dyDescent="0.35">
      <c r="B23" s="122"/>
      <c r="C23" s="123"/>
      <c r="D23" s="124" t="s">
        <v>58</v>
      </c>
      <c r="E23" s="124">
        <f>SUM(E17:E22)</f>
        <v>20</v>
      </c>
      <c r="F23" s="125" t="s">
        <v>61</v>
      </c>
      <c r="G23" s="126">
        <f>SUM(G17:G22)</f>
        <v>0</v>
      </c>
      <c r="L23" s="76"/>
      <c r="M23" s="76"/>
    </row>
    <row r="24" spans="2:13" s="151" customFormat="1" ht="42" customHeight="1" thickTop="1" x14ac:dyDescent="0.3">
      <c r="B24" s="156"/>
      <c r="C24" s="157"/>
      <c r="D24" s="156"/>
      <c r="E24" s="156"/>
      <c r="F24" s="158" t="s">
        <v>62</v>
      </c>
      <c r="G24" s="159">
        <f>IF(E23=0,"",G23/E23)</f>
        <v>0</v>
      </c>
      <c r="L24" s="160"/>
      <c r="M24" s="160"/>
    </row>
    <row r="26" spans="2:13" s="151" customFormat="1" ht="41.25" customHeight="1" thickBot="1" x14ac:dyDescent="0.35">
      <c r="B26" s="454" t="s">
        <v>82</v>
      </c>
      <c r="C26" s="454" t="s">
        <v>82</v>
      </c>
      <c r="D26" s="454" t="s">
        <v>82</v>
      </c>
      <c r="E26" s="454" t="s">
        <v>82</v>
      </c>
      <c r="F26" s="454" t="s">
        <v>82</v>
      </c>
      <c r="G26" s="454" t="s">
        <v>82</v>
      </c>
    </row>
    <row r="27" spans="2:13" s="47" customFormat="1" ht="33.75" customHeight="1" thickTop="1" x14ac:dyDescent="0.3">
      <c r="B27" s="152" t="s">
        <v>56</v>
      </c>
      <c r="C27" s="153" t="s">
        <v>57</v>
      </c>
      <c r="D27" s="152" t="s">
        <v>17</v>
      </c>
      <c r="E27" s="154" t="s">
        <v>58</v>
      </c>
      <c r="F27" s="154" t="s">
        <v>59</v>
      </c>
      <c r="G27" s="155" t="s">
        <v>60</v>
      </c>
    </row>
    <row r="28" spans="2:13" s="130" customFormat="1" ht="22.5" customHeight="1" x14ac:dyDescent="0.3">
      <c r="B28" s="161">
        <v>1</v>
      </c>
      <c r="C28" s="229" t="s">
        <v>83</v>
      </c>
      <c r="D28" s="148" t="s">
        <v>18</v>
      </c>
      <c r="E28" s="162">
        <f t="shared" ref="E28:E33" si="3">IF(D28="","",HLOOKUP(D28,$L$7:$M$13,2,FALSE))</f>
        <v>5</v>
      </c>
      <c r="F28" s="163" t="s">
        <v>53</v>
      </c>
      <c r="G28" s="164">
        <f t="shared" ref="G28:G33" si="4">IF(F28="","",IF(D28=$L$7,VLOOKUP(F28,$K$8:$L$13,2,FALSE),VLOOKUP(F28,$K$8:$M$13,3,FALSE)))</f>
        <v>0</v>
      </c>
    </row>
    <row r="29" spans="2:13" s="130" customFormat="1" ht="22.5" customHeight="1" x14ac:dyDescent="0.3">
      <c r="B29" s="161">
        <v>2</v>
      </c>
      <c r="C29" s="229" t="s">
        <v>84</v>
      </c>
      <c r="D29" s="148" t="s">
        <v>18</v>
      </c>
      <c r="E29" s="162">
        <f t="shared" si="3"/>
        <v>5</v>
      </c>
      <c r="F29" s="163" t="s">
        <v>53</v>
      </c>
      <c r="G29" s="164">
        <f t="shared" si="4"/>
        <v>0</v>
      </c>
    </row>
    <row r="30" spans="2:13" s="130" customFormat="1" ht="22.5" customHeight="1" x14ac:dyDescent="0.3">
      <c r="B30" s="161">
        <v>3</v>
      </c>
      <c r="C30" s="229" t="s">
        <v>85</v>
      </c>
      <c r="D30" s="148" t="s">
        <v>18</v>
      </c>
      <c r="E30" s="162">
        <f t="shared" si="3"/>
        <v>5</v>
      </c>
      <c r="F30" s="163" t="s">
        <v>53</v>
      </c>
      <c r="G30" s="164">
        <f>IF(F30="","",IF(D30=$L$7,VLOOKUP(F30,$K$8:$L$13,2,FALSE),VLOOKUP(F30,$K$8:$M$13,3,FALSE)))</f>
        <v>0</v>
      </c>
    </row>
    <row r="31" spans="2:13" s="130" customFormat="1" ht="22.5" customHeight="1" x14ac:dyDescent="0.3">
      <c r="B31" s="161">
        <v>4</v>
      </c>
      <c r="C31" s="229" t="s">
        <v>86</v>
      </c>
      <c r="D31" s="148" t="s">
        <v>55</v>
      </c>
      <c r="E31" s="162">
        <f t="shared" si="3"/>
        <v>10</v>
      </c>
      <c r="F31" s="163" t="s">
        <v>51</v>
      </c>
      <c r="G31" s="164">
        <f t="shared" si="4"/>
        <v>6</v>
      </c>
    </row>
    <row r="32" spans="2:13" s="130" customFormat="1" ht="22.5" customHeight="1" x14ac:dyDescent="0.3">
      <c r="B32" s="161">
        <v>5</v>
      </c>
      <c r="C32" s="229"/>
      <c r="D32" s="148"/>
      <c r="E32" s="162" t="str">
        <f t="shared" si="3"/>
        <v/>
      </c>
      <c r="F32" s="163"/>
      <c r="G32" s="164" t="str">
        <f t="shared" si="4"/>
        <v/>
      </c>
    </row>
    <row r="33" spans="2:13" s="130" customFormat="1" ht="22.5" customHeight="1" thickBot="1" x14ac:dyDescent="0.35">
      <c r="B33" s="165">
        <v>6</v>
      </c>
      <c r="C33" s="230"/>
      <c r="D33" s="150"/>
      <c r="E33" s="166" t="str">
        <f t="shared" si="3"/>
        <v/>
      </c>
      <c r="F33" s="167"/>
      <c r="G33" s="168" t="str">
        <f t="shared" si="4"/>
        <v/>
      </c>
    </row>
    <row r="34" spans="2:13" s="75" customFormat="1" ht="33.75" customHeight="1" thickTop="1" thickBot="1" x14ac:dyDescent="0.35">
      <c r="B34" s="122"/>
      <c r="C34" s="123"/>
      <c r="D34" s="124" t="s">
        <v>58</v>
      </c>
      <c r="E34" s="124">
        <f>SUM(E28:E33)</f>
        <v>25</v>
      </c>
      <c r="F34" s="125" t="s">
        <v>61</v>
      </c>
      <c r="G34" s="126">
        <f>SUM(G28:G33)</f>
        <v>6</v>
      </c>
      <c r="L34" s="76"/>
      <c r="M34" s="76"/>
    </row>
    <row r="35" spans="2:13" s="151" customFormat="1" ht="42" customHeight="1" thickTop="1" x14ac:dyDescent="0.3">
      <c r="B35" s="156"/>
      <c r="C35" s="157"/>
      <c r="D35" s="156"/>
      <c r="E35" s="156"/>
      <c r="F35" s="158" t="s">
        <v>62</v>
      </c>
      <c r="G35" s="159">
        <f>IF(E34=0,"",G34/E34)</f>
        <v>0.24</v>
      </c>
      <c r="L35" s="160"/>
      <c r="M35" s="160"/>
    </row>
    <row r="37" spans="2:13" s="151" customFormat="1" ht="41.25" customHeight="1" thickBot="1" x14ac:dyDescent="0.35">
      <c r="B37" s="454" t="s">
        <v>123</v>
      </c>
      <c r="C37" s="454" t="s">
        <v>82</v>
      </c>
      <c r="D37" s="454" t="s">
        <v>82</v>
      </c>
      <c r="E37" s="454" t="s">
        <v>82</v>
      </c>
      <c r="F37" s="454" t="s">
        <v>82</v>
      </c>
      <c r="G37" s="454" t="s">
        <v>82</v>
      </c>
    </row>
    <row r="38" spans="2:13" s="47" customFormat="1" ht="33.75" customHeight="1" thickTop="1" x14ac:dyDescent="0.3">
      <c r="B38" s="152" t="s">
        <v>56</v>
      </c>
      <c r="C38" s="153" t="s">
        <v>57</v>
      </c>
      <c r="D38" s="152" t="s">
        <v>17</v>
      </c>
      <c r="E38" s="154" t="s">
        <v>58</v>
      </c>
      <c r="F38" s="154" t="s">
        <v>59</v>
      </c>
      <c r="G38" s="155" t="s">
        <v>60</v>
      </c>
    </row>
    <row r="39" spans="2:13" s="130" customFormat="1" ht="22.5" customHeight="1" x14ac:dyDescent="0.3">
      <c r="B39" s="161">
        <v>1</v>
      </c>
      <c r="C39" s="229"/>
      <c r="D39" s="148"/>
      <c r="E39" s="162" t="str">
        <f t="shared" ref="E39:E44" si="5">IF(D39="","",HLOOKUP(D39,$L$7:$M$13,2,FALSE))</f>
        <v/>
      </c>
      <c r="F39" s="163"/>
      <c r="G39" s="164" t="str">
        <f t="shared" ref="G39:G44" si="6">IF(F39="","",IF(D39=$L$7,VLOOKUP(F39,$K$8:$L$13,2,FALSE),VLOOKUP(F39,$K$8:$M$13,3,FALSE)))</f>
        <v/>
      </c>
    </row>
    <row r="40" spans="2:13" s="130" customFormat="1" ht="22.5" customHeight="1" x14ac:dyDescent="0.3">
      <c r="B40" s="161">
        <v>2</v>
      </c>
      <c r="C40" s="229"/>
      <c r="D40" s="148"/>
      <c r="E40" s="162" t="str">
        <f t="shared" si="5"/>
        <v/>
      </c>
      <c r="F40" s="163"/>
      <c r="G40" s="164" t="str">
        <f t="shared" si="6"/>
        <v/>
      </c>
    </row>
    <row r="41" spans="2:13" s="130" customFormat="1" ht="22.5" customHeight="1" x14ac:dyDescent="0.3">
      <c r="B41" s="161">
        <v>3</v>
      </c>
      <c r="C41" s="229"/>
      <c r="D41" s="148"/>
      <c r="E41" s="162" t="str">
        <f t="shared" si="5"/>
        <v/>
      </c>
      <c r="F41" s="163"/>
      <c r="G41" s="164" t="str">
        <f t="shared" si="6"/>
        <v/>
      </c>
    </row>
    <row r="42" spans="2:13" s="130" customFormat="1" ht="22.5" customHeight="1" x14ac:dyDescent="0.3">
      <c r="B42" s="161">
        <v>4</v>
      </c>
      <c r="C42" s="229"/>
      <c r="D42" s="148"/>
      <c r="E42" s="162" t="str">
        <f t="shared" si="5"/>
        <v/>
      </c>
      <c r="F42" s="163"/>
      <c r="G42" s="164" t="str">
        <f t="shared" si="6"/>
        <v/>
      </c>
    </row>
    <row r="43" spans="2:13" s="130" customFormat="1" ht="22.5" customHeight="1" x14ac:dyDescent="0.3">
      <c r="B43" s="161">
        <v>5</v>
      </c>
      <c r="C43" s="229"/>
      <c r="D43" s="148"/>
      <c r="E43" s="162" t="str">
        <f t="shared" si="5"/>
        <v/>
      </c>
      <c r="F43" s="163"/>
      <c r="G43" s="164" t="str">
        <f t="shared" si="6"/>
        <v/>
      </c>
    </row>
    <row r="44" spans="2:13" s="130" customFormat="1" ht="22.5" customHeight="1" thickBot="1" x14ac:dyDescent="0.35">
      <c r="B44" s="165">
        <v>6</v>
      </c>
      <c r="C44" s="230"/>
      <c r="D44" s="150"/>
      <c r="E44" s="166" t="str">
        <f t="shared" si="5"/>
        <v/>
      </c>
      <c r="F44" s="167"/>
      <c r="G44" s="168" t="str">
        <f t="shared" si="6"/>
        <v/>
      </c>
    </row>
    <row r="45" spans="2:13" s="75" customFormat="1" ht="33.75" customHeight="1" thickTop="1" thickBot="1" x14ac:dyDescent="0.35">
      <c r="B45" s="122"/>
      <c r="C45" s="123"/>
      <c r="D45" s="124" t="s">
        <v>58</v>
      </c>
      <c r="E45" s="124">
        <f>SUM(E39:E44)</f>
        <v>0</v>
      </c>
      <c r="F45" s="125" t="s">
        <v>61</v>
      </c>
      <c r="G45" s="126">
        <f>SUM(G39:G44)</f>
        <v>0</v>
      </c>
      <c r="L45" s="76"/>
      <c r="M45" s="76"/>
    </row>
    <row r="46" spans="2:13" s="151" customFormat="1" ht="42" customHeight="1" thickTop="1" x14ac:dyDescent="0.3">
      <c r="B46" s="156"/>
      <c r="C46" s="157"/>
      <c r="D46" s="156"/>
      <c r="E46" s="156"/>
      <c r="F46" s="158" t="s">
        <v>62</v>
      </c>
      <c r="G46" s="159" t="str">
        <f>IF(E45=0,"",G45/E45)</f>
        <v/>
      </c>
      <c r="L46" s="160"/>
      <c r="M46" s="160"/>
    </row>
    <row r="48" spans="2:13" s="151" customFormat="1" ht="41.25" customHeight="1" thickBot="1" x14ac:dyDescent="0.35">
      <c r="B48" s="454" t="s">
        <v>124</v>
      </c>
      <c r="C48" s="454" t="s">
        <v>82</v>
      </c>
      <c r="D48" s="454" t="s">
        <v>82</v>
      </c>
      <c r="E48" s="454" t="s">
        <v>82</v>
      </c>
      <c r="F48" s="454" t="s">
        <v>82</v>
      </c>
      <c r="G48" s="454" t="s">
        <v>82</v>
      </c>
    </row>
    <row r="49" spans="2:13" s="47" customFormat="1" ht="33.75" customHeight="1" thickTop="1" x14ac:dyDescent="0.3">
      <c r="B49" s="152" t="s">
        <v>56</v>
      </c>
      <c r="C49" s="153" t="s">
        <v>57</v>
      </c>
      <c r="D49" s="152" t="s">
        <v>17</v>
      </c>
      <c r="E49" s="154" t="s">
        <v>58</v>
      </c>
      <c r="F49" s="154" t="s">
        <v>59</v>
      </c>
      <c r="G49" s="155" t="s">
        <v>60</v>
      </c>
    </row>
    <row r="50" spans="2:13" s="130" customFormat="1" ht="22.5" customHeight="1" x14ac:dyDescent="0.3">
      <c r="B50" s="161">
        <v>1</v>
      </c>
      <c r="C50" s="229"/>
      <c r="D50" s="148"/>
      <c r="E50" s="162" t="str">
        <f t="shared" ref="E50:E55" si="7">IF(D50="","",HLOOKUP(D50,$L$7:$M$13,2,FALSE))</f>
        <v/>
      </c>
      <c r="F50" s="163"/>
      <c r="G50" s="164" t="str">
        <f t="shared" ref="G50:G55" si="8">IF(F50="","",IF(D50=$L$7,VLOOKUP(F50,$K$8:$L$13,2,FALSE),VLOOKUP(F50,$K$8:$M$13,3,FALSE)))</f>
        <v/>
      </c>
    </row>
    <row r="51" spans="2:13" s="130" customFormat="1" ht="22.5" customHeight="1" x14ac:dyDescent="0.3">
      <c r="B51" s="161">
        <v>2</v>
      </c>
      <c r="C51" s="229"/>
      <c r="D51" s="148"/>
      <c r="E51" s="162" t="str">
        <f t="shared" si="7"/>
        <v/>
      </c>
      <c r="F51" s="163"/>
      <c r="G51" s="164" t="str">
        <f t="shared" si="8"/>
        <v/>
      </c>
    </row>
    <row r="52" spans="2:13" s="130" customFormat="1" ht="22.5" customHeight="1" x14ac:dyDescent="0.3">
      <c r="B52" s="161">
        <v>3</v>
      </c>
      <c r="C52" s="229"/>
      <c r="D52" s="148"/>
      <c r="E52" s="162" t="str">
        <f t="shared" si="7"/>
        <v/>
      </c>
      <c r="F52" s="163"/>
      <c r="G52" s="164" t="str">
        <f t="shared" si="8"/>
        <v/>
      </c>
    </row>
    <row r="53" spans="2:13" s="130" customFormat="1" ht="22.5" customHeight="1" x14ac:dyDescent="0.3">
      <c r="B53" s="161">
        <v>4</v>
      </c>
      <c r="C53" s="229"/>
      <c r="D53" s="148"/>
      <c r="E53" s="162" t="str">
        <f t="shared" si="7"/>
        <v/>
      </c>
      <c r="F53" s="163"/>
      <c r="G53" s="164" t="str">
        <f t="shared" si="8"/>
        <v/>
      </c>
    </row>
    <row r="54" spans="2:13" s="130" customFormat="1" ht="22.5" customHeight="1" x14ac:dyDescent="0.3">
      <c r="B54" s="161">
        <v>5</v>
      </c>
      <c r="C54" s="229"/>
      <c r="D54" s="148"/>
      <c r="E54" s="162" t="str">
        <f t="shared" si="7"/>
        <v/>
      </c>
      <c r="F54" s="163"/>
      <c r="G54" s="164" t="str">
        <f t="shared" si="8"/>
        <v/>
      </c>
    </row>
    <row r="55" spans="2:13" s="130" customFormat="1" ht="22.5" customHeight="1" thickBot="1" x14ac:dyDescent="0.35">
      <c r="B55" s="165">
        <v>6</v>
      </c>
      <c r="C55" s="230"/>
      <c r="D55" s="150"/>
      <c r="E55" s="166" t="str">
        <f t="shared" si="7"/>
        <v/>
      </c>
      <c r="F55" s="167"/>
      <c r="G55" s="168" t="str">
        <f t="shared" si="8"/>
        <v/>
      </c>
    </row>
    <row r="56" spans="2:13" s="75" customFormat="1" ht="33.75" customHeight="1" thickTop="1" thickBot="1" x14ac:dyDescent="0.35">
      <c r="B56" s="122"/>
      <c r="C56" s="123"/>
      <c r="D56" s="124" t="s">
        <v>58</v>
      </c>
      <c r="E56" s="124">
        <f>SUM(E50:E55)</f>
        <v>0</v>
      </c>
      <c r="F56" s="125" t="s">
        <v>61</v>
      </c>
      <c r="G56" s="126">
        <f>SUM(G50:G55)</f>
        <v>0</v>
      </c>
      <c r="L56" s="76"/>
      <c r="M56" s="76"/>
    </row>
    <row r="57" spans="2:13" s="151" customFormat="1" ht="42" customHeight="1" thickTop="1" x14ac:dyDescent="0.3">
      <c r="B57" s="156"/>
      <c r="C57" s="157"/>
      <c r="D57" s="156"/>
      <c r="E57" s="156"/>
      <c r="F57" s="158" t="s">
        <v>62</v>
      </c>
      <c r="G57" s="159" t="str">
        <f>IF(E56=0,"",G56/E56)</f>
        <v/>
      </c>
      <c r="L57" s="160"/>
      <c r="M57" s="160"/>
    </row>
    <row r="59" spans="2:13" s="151" customFormat="1" ht="41.25" customHeight="1" thickBot="1" x14ac:dyDescent="0.35">
      <c r="B59" s="454" t="s">
        <v>125</v>
      </c>
      <c r="C59" s="454" t="s">
        <v>82</v>
      </c>
      <c r="D59" s="454" t="s">
        <v>82</v>
      </c>
      <c r="E59" s="454" t="s">
        <v>82</v>
      </c>
      <c r="F59" s="454" t="s">
        <v>82</v>
      </c>
      <c r="G59" s="454" t="s">
        <v>82</v>
      </c>
    </row>
    <row r="60" spans="2:13" s="47" customFormat="1" ht="33.75" customHeight="1" thickTop="1" x14ac:dyDescent="0.3">
      <c r="B60" s="152" t="s">
        <v>56</v>
      </c>
      <c r="C60" s="153" t="s">
        <v>57</v>
      </c>
      <c r="D60" s="152" t="s">
        <v>17</v>
      </c>
      <c r="E60" s="154" t="s">
        <v>58</v>
      </c>
      <c r="F60" s="154" t="s">
        <v>59</v>
      </c>
      <c r="G60" s="155" t="s">
        <v>60</v>
      </c>
    </row>
    <row r="61" spans="2:13" s="130" customFormat="1" ht="22.5" customHeight="1" x14ac:dyDescent="0.3">
      <c r="B61" s="161">
        <v>1</v>
      </c>
      <c r="C61" s="229"/>
      <c r="D61" s="148"/>
      <c r="E61" s="162" t="str">
        <f t="shared" ref="E61:E66" si="9">IF(D61="","",HLOOKUP(D61,$L$7:$M$13,2,FALSE))</f>
        <v/>
      </c>
      <c r="F61" s="163"/>
      <c r="G61" s="164" t="str">
        <f t="shared" ref="G61:G66" si="10">IF(F61="","",IF(D61=$L$7,VLOOKUP(F61,$K$8:$L$13,2,FALSE),VLOOKUP(F61,$K$8:$M$13,3,FALSE)))</f>
        <v/>
      </c>
    </row>
    <row r="62" spans="2:13" s="130" customFormat="1" ht="22.5" customHeight="1" x14ac:dyDescent="0.3">
      <c r="B62" s="161">
        <v>2</v>
      </c>
      <c r="C62" s="229"/>
      <c r="D62" s="148"/>
      <c r="E62" s="162" t="str">
        <f t="shared" si="9"/>
        <v/>
      </c>
      <c r="F62" s="163"/>
      <c r="G62" s="164" t="str">
        <f t="shared" si="10"/>
        <v/>
      </c>
    </row>
    <row r="63" spans="2:13" s="130" customFormat="1" ht="22.5" customHeight="1" x14ac:dyDescent="0.3">
      <c r="B63" s="161">
        <v>3</v>
      </c>
      <c r="C63" s="229"/>
      <c r="D63" s="148"/>
      <c r="E63" s="162" t="str">
        <f t="shared" si="9"/>
        <v/>
      </c>
      <c r="F63" s="163"/>
      <c r="G63" s="164" t="str">
        <f t="shared" si="10"/>
        <v/>
      </c>
    </row>
    <row r="64" spans="2:13" s="130" customFormat="1" ht="22.5" customHeight="1" x14ac:dyDescent="0.3">
      <c r="B64" s="161">
        <v>4</v>
      </c>
      <c r="C64" s="229"/>
      <c r="D64" s="148"/>
      <c r="E64" s="162" t="str">
        <f t="shared" si="9"/>
        <v/>
      </c>
      <c r="F64" s="163"/>
      <c r="G64" s="164" t="str">
        <f t="shared" si="10"/>
        <v/>
      </c>
    </row>
    <row r="65" spans="2:13" s="130" customFormat="1" ht="22.5" customHeight="1" x14ac:dyDescent="0.3">
      <c r="B65" s="161">
        <v>5</v>
      </c>
      <c r="C65" s="229"/>
      <c r="D65" s="148"/>
      <c r="E65" s="162" t="str">
        <f t="shared" si="9"/>
        <v/>
      </c>
      <c r="F65" s="163"/>
      <c r="G65" s="164" t="str">
        <f t="shared" si="10"/>
        <v/>
      </c>
    </row>
    <row r="66" spans="2:13" s="130" customFormat="1" ht="22.5" customHeight="1" thickBot="1" x14ac:dyDescent="0.35">
      <c r="B66" s="165">
        <v>6</v>
      </c>
      <c r="C66" s="230"/>
      <c r="D66" s="150"/>
      <c r="E66" s="166" t="str">
        <f t="shared" si="9"/>
        <v/>
      </c>
      <c r="F66" s="167"/>
      <c r="G66" s="168" t="str">
        <f t="shared" si="10"/>
        <v/>
      </c>
    </row>
    <row r="67" spans="2:13" s="75" customFormat="1" ht="33.75" customHeight="1" thickTop="1" thickBot="1" x14ac:dyDescent="0.35">
      <c r="B67" s="122"/>
      <c r="C67" s="123"/>
      <c r="D67" s="124" t="s">
        <v>58</v>
      </c>
      <c r="E67" s="124">
        <f>SUM(E61:E66)</f>
        <v>0</v>
      </c>
      <c r="F67" s="125" t="s">
        <v>61</v>
      </c>
      <c r="G67" s="126">
        <f>SUM(G61:G66)</f>
        <v>0</v>
      </c>
      <c r="L67" s="76"/>
      <c r="M67" s="76"/>
    </row>
    <row r="68" spans="2:13" s="151" customFormat="1" ht="42" customHeight="1" thickTop="1" x14ac:dyDescent="0.3">
      <c r="B68" s="156"/>
      <c r="C68" s="157"/>
      <c r="D68" s="156"/>
      <c r="E68" s="156"/>
      <c r="F68" s="158" t="s">
        <v>62</v>
      </c>
      <c r="G68" s="159" t="str">
        <f>IF(E67=0,"",G67/E67)</f>
        <v/>
      </c>
      <c r="L68" s="160"/>
      <c r="M68" s="160"/>
    </row>
    <row r="70" spans="2:13" s="151" customFormat="1" ht="41.25" customHeight="1" thickBot="1" x14ac:dyDescent="0.35">
      <c r="B70" s="454" t="s">
        <v>126</v>
      </c>
      <c r="C70" s="454" t="s">
        <v>82</v>
      </c>
      <c r="D70" s="454" t="s">
        <v>82</v>
      </c>
      <c r="E70" s="454" t="s">
        <v>82</v>
      </c>
      <c r="F70" s="454" t="s">
        <v>82</v>
      </c>
      <c r="G70" s="454" t="s">
        <v>82</v>
      </c>
    </row>
    <row r="71" spans="2:13" s="47" customFormat="1" ht="33.75" customHeight="1" thickTop="1" x14ac:dyDescent="0.3">
      <c r="B71" s="152" t="s">
        <v>56</v>
      </c>
      <c r="C71" s="153" t="s">
        <v>57</v>
      </c>
      <c r="D71" s="152" t="s">
        <v>17</v>
      </c>
      <c r="E71" s="154" t="s">
        <v>58</v>
      </c>
      <c r="F71" s="154" t="s">
        <v>59</v>
      </c>
      <c r="G71" s="155" t="s">
        <v>60</v>
      </c>
    </row>
    <row r="72" spans="2:13" s="130" customFormat="1" ht="22.5" customHeight="1" x14ac:dyDescent="0.3">
      <c r="B72" s="161">
        <v>1</v>
      </c>
      <c r="C72" s="229"/>
      <c r="D72" s="148"/>
      <c r="E72" s="162" t="str">
        <f t="shared" ref="E72:E77" si="11">IF(D72="","",HLOOKUP(D72,$L$7:$M$13,2,FALSE))</f>
        <v/>
      </c>
      <c r="F72" s="163"/>
      <c r="G72" s="164" t="str">
        <f t="shared" ref="G72:G77" si="12">IF(F72="","",IF(D72=$L$7,VLOOKUP(F72,$K$8:$L$13,2,FALSE),VLOOKUP(F72,$K$8:$M$13,3,FALSE)))</f>
        <v/>
      </c>
    </row>
    <row r="73" spans="2:13" s="130" customFormat="1" ht="22.5" customHeight="1" x14ac:dyDescent="0.3">
      <c r="B73" s="161">
        <v>2</v>
      </c>
      <c r="C73" s="229"/>
      <c r="D73" s="148"/>
      <c r="E73" s="162" t="str">
        <f t="shared" si="11"/>
        <v/>
      </c>
      <c r="F73" s="163"/>
      <c r="G73" s="164" t="str">
        <f t="shared" si="12"/>
        <v/>
      </c>
    </row>
    <row r="74" spans="2:13" s="130" customFormat="1" ht="22.5" customHeight="1" x14ac:dyDescent="0.3">
      <c r="B74" s="161">
        <v>3</v>
      </c>
      <c r="C74" s="229"/>
      <c r="D74" s="148"/>
      <c r="E74" s="162" t="str">
        <f t="shared" si="11"/>
        <v/>
      </c>
      <c r="F74" s="163"/>
      <c r="G74" s="164" t="str">
        <f t="shared" si="12"/>
        <v/>
      </c>
    </row>
    <row r="75" spans="2:13" s="130" customFormat="1" ht="22.5" customHeight="1" x14ac:dyDescent="0.3">
      <c r="B75" s="161">
        <v>4</v>
      </c>
      <c r="C75" s="229"/>
      <c r="D75" s="148"/>
      <c r="E75" s="162" t="str">
        <f t="shared" si="11"/>
        <v/>
      </c>
      <c r="F75" s="163"/>
      <c r="G75" s="164" t="str">
        <f t="shared" si="12"/>
        <v/>
      </c>
    </row>
    <row r="76" spans="2:13" s="130" customFormat="1" ht="22.5" customHeight="1" x14ac:dyDescent="0.3">
      <c r="B76" s="161">
        <v>5</v>
      </c>
      <c r="C76" s="229"/>
      <c r="D76" s="148"/>
      <c r="E76" s="162" t="str">
        <f t="shared" si="11"/>
        <v/>
      </c>
      <c r="F76" s="163"/>
      <c r="G76" s="164" t="str">
        <f t="shared" si="12"/>
        <v/>
      </c>
    </row>
    <row r="77" spans="2:13" s="130" customFormat="1" ht="22.5" customHeight="1" thickBot="1" x14ac:dyDescent="0.35">
      <c r="B77" s="165">
        <v>6</v>
      </c>
      <c r="C77" s="230"/>
      <c r="D77" s="150"/>
      <c r="E77" s="166" t="str">
        <f t="shared" si="11"/>
        <v/>
      </c>
      <c r="F77" s="167"/>
      <c r="G77" s="168" t="str">
        <f t="shared" si="12"/>
        <v/>
      </c>
    </row>
    <row r="78" spans="2:13" s="75" customFormat="1" ht="33.75" customHeight="1" thickTop="1" thickBot="1" x14ac:dyDescent="0.35">
      <c r="B78" s="122"/>
      <c r="C78" s="123"/>
      <c r="D78" s="124" t="s">
        <v>58</v>
      </c>
      <c r="E78" s="124">
        <f>SUM(E72:E77)</f>
        <v>0</v>
      </c>
      <c r="F78" s="125" t="s">
        <v>61</v>
      </c>
      <c r="G78" s="126">
        <f>SUM(G72:G77)</f>
        <v>0</v>
      </c>
      <c r="L78" s="76"/>
      <c r="M78" s="76"/>
    </row>
    <row r="79" spans="2:13" s="151" customFormat="1" ht="42" customHeight="1" thickTop="1" x14ac:dyDescent="0.3">
      <c r="B79" s="156"/>
      <c r="C79" s="157"/>
      <c r="D79" s="156"/>
      <c r="E79" s="156"/>
      <c r="F79" s="158" t="s">
        <v>62</v>
      </c>
      <c r="G79" s="159" t="str">
        <f>IF(E78=0,"",G78/E78)</f>
        <v/>
      </c>
      <c r="L79" s="160"/>
      <c r="M79" s="160"/>
    </row>
    <row r="81" spans="2:13" s="151" customFormat="1" ht="41.25" customHeight="1" thickBot="1" x14ac:dyDescent="0.35">
      <c r="B81" s="454" t="s">
        <v>127</v>
      </c>
      <c r="C81" s="454" t="s">
        <v>82</v>
      </c>
      <c r="D81" s="454" t="s">
        <v>82</v>
      </c>
      <c r="E81" s="454" t="s">
        <v>82</v>
      </c>
      <c r="F81" s="454" t="s">
        <v>82</v>
      </c>
      <c r="G81" s="454" t="s">
        <v>82</v>
      </c>
    </row>
    <row r="82" spans="2:13" s="47" customFormat="1" ht="33.75" customHeight="1" thickTop="1" x14ac:dyDescent="0.3">
      <c r="B82" s="152" t="s">
        <v>56</v>
      </c>
      <c r="C82" s="153" t="s">
        <v>57</v>
      </c>
      <c r="D82" s="152" t="s">
        <v>17</v>
      </c>
      <c r="E82" s="154" t="s">
        <v>58</v>
      </c>
      <c r="F82" s="154" t="s">
        <v>59</v>
      </c>
      <c r="G82" s="155" t="s">
        <v>60</v>
      </c>
    </row>
    <row r="83" spans="2:13" s="130" customFormat="1" ht="22.5" customHeight="1" x14ac:dyDescent="0.3">
      <c r="B83" s="161">
        <v>1</v>
      </c>
      <c r="C83" s="229"/>
      <c r="D83" s="148"/>
      <c r="E83" s="162" t="str">
        <f t="shared" ref="E83:E88" si="13">IF(D83="","",HLOOKUP(D83,$L$7:$M$13,2,FALSE))</f>
        <v/>
      </c>
      <c r="F83" s="163"/>
      <c r="G83" s="164" t="str">
        <f t="shared" ref="G83:G88" si="14">IF(F83="","",IF(D83=$L$7,VLOOKUP(F83,$K$8:$L$13,2,FALSE),VLOOKUP(F83,$K$8:$M$13,3,FALSE)))</f>
        <v/>
      </c>
    </row>
    <row r="84" spans="2:13" s="130" customFormat="1" ht="22.5" customHeight="1" x14ac:dyDescent="0.3">
      <c r="B84" s="161">
        <v>2</v>
      </c>
      <c r="C84" s="229"/>
      <c r="D84" s="148"/>
      <c r="E84" s="162" t="str">
        <f t="shared" si="13"/>
        <v/>
      </c>
      <c r="F84" s="163"/>
      <c r="G84" s="164" t="str">
        <f t="shared" si="14"/>
        <v/>
      </c>
    </row>
    <row r="85" spans="2:13" s="130" customFormat="1" ht="22.5" customHeight="1" x14ac:dyDescent="0.3">
      <c r="B85" s="161">
        <v>3</v>
      </c>
      <c r="C85" s="229"/>
      <c r="D85" s="148"/>
      <c r="E85" s="162" t="str">
        <f t="shared" si="13"/>
        <v/>
      </c>
      <c r="F85" s="163"/>
      <c r="G85" s="164" t="str">
        <f t="shared" si="14"/>
        <v/>
      </c>
    </row>
    <row r="86" spans="2:13" s="130" customFormat="1" ht="22.5" customHeight="1" x14ac:dyDescent="0.3">
      <c r="B86" s="161">
        <v>4</v>
      </c>
      <c r="C86" s="229"/>
      <c r="D86" s="148"/>
      <c r="E86" s="162" t="str">
        <f t="shared" si="13"/>
        <v/>
      </c>
      <c r="F86" s="163"/>
      <c r="G86" s="164" t="str">
        <f t="shared" si="14"/>
        <v/>
      </c>
    </row>
    <row r="87" spans="2:13" s="130" customFormat="1" ht="22.5" customHeight="1" x14ac:dyDescent="0.3">
      <c r="B87" s="161">
        <v>5</v>
      </c>
      <c r="C87" s="229"/>
      <c r="D87" s="148"/>
      <c r="E87" s="162" t="str">
        <f t="shared" si="13"/>
        <v/>
      </c>
      <c r="F87" s="163"/>
      <c r="G87" s="164" t="str">
        <f t="shared" si="14"/>
        <v/>
      </c>
    </row>
    <row r="88" spans="2:13" s="130" customFormat="1" ht="22.5" customHeight="1" thickBot="1" x14ac:dyDescent="0.35">
      <c r="B88" s="165">
        <v>6</v>
      </c>
      <c r="C88" s="230"/>
      <c r="D88" s="150"/>
      <c r="E88" s="166" t="str">
        <f t="shared" si="13"/>
        <v/>
      </c>
      <c r="F88" s="167"/>
      <c r="G88" s="168" t="str">
        <f t="shared" si="14"/>
        <v/>
      </c>
    </row>
    <row r="89" spans="2:13" s="75" customFormat="1" ht="33.75" customHeight="1" thickTop="1" thickBot="1" x14ac:dyDescent="0.35">
      <c r="B89" s="122"/>
      <c r="C89" s="123"/>
      <c r="D89" s="124" t="s">
        <v>58</v>
      </c>
      <c r="E89" s="124">
        <f>SUM(E83:E88)</f>
        <v>0</v>
      </c>
      <c r="F89" s="125" t="s">
        <v>61</v>
      </c>
      <c r="G89" s="126">
        <f>SUM(G83:G88)</f>
        <v>0</v>
      </c>
      <c r="L89" s="76"/>
      <c r="M89" s="76"/>
    </row>
    <row r="90" spans="2:13" s="151" customFormat="1" ht="42" customHeight="1" thickTop="1" x14ac:dyDescent="0.3">
      <c r="B90" s="156"/>
      <c r="C90" s="157"/>
      <c r="D90" s="156"/>
      <c r="E90" s="156"/>
      <c r="F90" s="158" t="s">
        <v>62</v>
      </c>
      <c r="G90" s="159" t="str">
        <f>IF(E89=0,"",G89/E89)</f>
        <v/>
      </c>
      <c r="L90" s="160"/>
      <c r="M90" s="160"/>
    </row>
    <row r="92" spans="2:13" s="151" customFormat="1" ht="41.25" customHeight="1" thickBot="1" x14ac:dyDescent="0.35">
      <c r="B92" s="454" t="s">
        <v>128</v>
      </c>
      <c r="C92" s="454" t="s">
        <v>82</v>
      </c>
      <c r="D92" s="454" t="s">
        <v>82</v>
      </c>
      <c r="E92" s="454" t="s">
        <v>82</v>
      </c>
      <c r="F92" s="454" t="s">
        <v>82</v>
      </c>
      <c r="G92" s="454" t="s">
        <v>82</v>
      </c>
    </row>
    <row r="93" spans="2:13" s="47" customFormat="1" ht="33.75" customHeight="1" thickTop="1" x14ac:dyDescent="0.3">
      <c r="B93" s="152" t="s">
        <v>56</v>
      </c>
      <c r="C93" s="153" t="s">
        <v>57</v>
      </c>
      <c r="D93" s="152" t="s">
        <v>17</v>
      </c>
      <c r="E93" s="154" t="s">
        <v>58</v>
      </c>
      <c r="F93" s="154" t="s">
        <v>59</v>
      </c>
      <c r="G93" s="155" t="s">
        <v>60</v>
      </c>
    </row>
    <row r="94" spans="2:13" s="130" customFormat="1" ht="22.5" customHeight="1" x14ac:dyDescent="0.3">
      <c r="B94" s="161">
        <v>1</v>
      </c>
      <c r="C94" s="229"/>
      <c r="D94" s="148"/>
      <c r="E94" s="162" t="str">
        <f t="shared" ref="E94:E99" si="15">IF(D94="","",HLOOKUP(D94,$L$7:$M$13,2,FALSE))</f>
        <v/>
      </c>
      <c r="F94" s="163"/>
      <c r="G94" s="164" t="str">
        <f t="shared" ref="G94:G99" si="16">IF(F94="","",IF(D94=$L$7,VLOOKUP(F94,$K$8:$L$13,2,FALSE),VLOOKUP(F94,$K$8:$M$13,3,FALSE)))</f>
        <v/>
      </c>
    </row>
    <row r="95" spans="2:13" s="130" customFormat="1" ht="22.5" customHeight="1" x14ac:dyDescent="0.3">
      <c r="B95" s="161">
        <v>2</v>
      </c>
      <c r="C95" s="229"/>
      <c r="D95" s="148"/>
      <c r="E95" s="162" t="str">
        <f t="shared" si="15"/>
        <v/>
      </c>
      <c r="F95" s="163"/>
      <c r="G95" s="164" t="str">
        <f t="shared" si="16"/>
        <v/>
      </c>
    </row>
    <row r="96" spans="2:13" s="130" customFormat="1" ht="22.5" customHeight="1" x14ac:dyDescent="0.3">
      <c r="B96" s="161">
        <v>3</v>
      </c>
      <c r="C96" s="229"/>
      <c r="D96" s="148"/>
      <c r="E96" s="162" t="str">
        <f t="shared" si="15"/>
        <v/>
      </c>
      <c r="F96" s="163"/>
      <c r="G96" s="164" t="str">
        <f t="shared" si="16"/>
        <v/>
      </c>
    </row>
    <row r="97" spans="2:13" s="130" customFormat="1" ht="22.5" customHeight="1" x14ac:dyDescent="0.3">
      <c r="B97" s="161">
        <v>4</v>
      </c>
      <c r="C97" s="229"/>
      <c r="D97" s="148"/>
      <c r="E97" s="162" t="str">
        <f t="shared" si="15"/>
        <v/>
      </c>
      <c r="F97" s="163"/>
      <c r="G97" s="164" t="str">
        <f t="shared" si="16"/>
        <v/>
      </c>
    </row>
    <row r="98" spans="2:13" s="130" customFormat="1" ht="22.5" customHeight="1" x14ac:dyDescent="0.3">
      <c r="B98" s="161">
        <v>5</v>
      </c>
      <c r="C98" s="229"/>
      <c r="D98" s="148"/>
      <c r="E98" s="162" t="str">
        <f t="shared" si="15"/>
        <v/>
      </c>
      <c r="F98" s="163"/>
      <c r="G98" s="164" t="str">
        <f t="shared" si="16"/>
        <v/>
      </c>
    </row>
    <row r="99" spans="2:13" s="130" customFormat="1" ht="22.5" customHeight="1" thickBot="1" x14ac:dyDescent="0.35">
      <c r="B99" s="165">
        <v>6</v>
      </c>
      <c r="C99" s="230"/>
      <c r="D99" s="150"/>
      <c r="E99" s="166" t="str">
        <f t="shared" si="15"/>
        <v/>
      </c>
      <c r="F99" s="167"/>
      <c r="G99" s="168" t="str">
        <f t="shared" si="16"/>
        <v/>
      </c>
    </row>
    <row r="100" spans="2:13" s="75" customFormat="1" ht="33.75" customHeight="1" thickTop="1" thickBot="1" x14ac:dyDescent="0.35">
      <c r="B100" s="122"/>
      <c r="C100" s="123"/>
      <c r="D100" s="124" t="s">
        <v>58</v>
      </c>
      <c r="E100" s="124">
        <f>SUM(E94:E99)</f>
        <v>0</v>
      </c>
      <c r="F100" s="125" t="s">
        <v>61</v>
      </c>
      <c r="G100" s="126">
        <f>SUM(G94:G99)</f>
        <v>0</v>
      </c>
      <c r="L100" s="76"/>
      <c r="M100" s="76"/>
    </row>
    <row r="101" spans="2:13" s="151" customFormat="1" ht="42" customHeight="1" thickTop="1" x14ac:dyDescent="0.3">
      <c r="B101" s="156"/>
      <c r="C101" s="157"/>
      <c r="D101" s="156"/>
      <c r="E101" s="156"/>
      <c r="F101" s="158" t="s">
        <v>62</v>
      </c>
      <c r="G101" s="159" t="str">
        <f>IF(E100=0,"",G100/E100)</f>
        <v/>
      </c>
      <c r="L101" s="160"/>
      <c r="M101" s="160"/>
    </row>
    <row r="103" spans="2:13" s="151" customFormat="1" ht="41.25" customHeight="1" thickBot="1" x14ac:dyDescent="0.35">
      <c r="B103" s="454" t="s">
        <v>129</v>
      </c>
      <c r="C103" s="454" t="s">
        <v>82</v>
      </c>
      <c r="D103" s="454" t="s">
        <v>82</v>
      </c>
      <c r="E103" s="454" t="s">
        <v>82</v>
      </c>
      <c r="F103" s="454" t="s">
        <v>82</v>
      </c>
      <c r="G103" s="454" t="s">
        <v>82</v>
      </c>
    </row>
    <row r="104" spans="2:13" s="47" customFormat="1" ht="33.75" customHeight="1" thickTop="1" x14ac:dyDescent="0.3">
      <c r="B104" s="152" t="s">
        <v>56</v>
      </c>
      <c r="C104" s="153" t="s">
        <v>57</v>
      </c>
      <c r="D104" s="152" t="s">
        <v>17</v>
      </c>
      <c r="E104" s="154" t="s">
        <v>58</v>
      </c>
      <c r="F104" s="154" t="s">
        <v>59</v>
      </c>
      <c r="G104" s="155" t="s">
        <v>60</v>
      </c>
    </row>
    <row r="105" spans="2:13" s="130" customFormat="1" ht="22.5" customHeight="1" x14ac:dyDescent="0.3">
      <c r="B105" s="161">
        <v>1</v>
      </c>
      <c r="C105" s="229"/>
      <c r="D105" s="148"/>
      <c r="E105" s="162" t="str">
        <f t="shared" ref="E105:E110" si="17">IF(D105="","",HLOOKUP(D105,$L$7:$M$13,2,FALSE))</f>
        <v/>
      </c>
      <c r="F105" s="163"/>
      <c r="G105" s="164" t="str">
        <f t="shared" ref="G105:G110" si="18">IF(F105="","",IF(D105=$L$7,VLOOKUP(F105,$K$8:$L$13,2,FALSE),VLOOKUP(F105,$K$8:$M$13,3,FALSE)))</f>
        <v/>
      </c>
    </row>
    <row r="106" spans="2:13" s="130" customFormat="1" ht="22.5" customHeight="1" x14ac:dyDescent="0.3">
      <c r="B106" s="161">
        <v>2</v>
      </c>
      <c r="C106" s="229"/>
      <c r="D106" s="148"/>
      <c r="E106" s="162" t="str">
        <f t="shared" si="17"/>
        <v/>
      </c>
      <c r="F106" s="163"/>
      <c r="G106" s="164" t="str">
        <f t="shared" si="18"/>
        <v/>
      </c>
    </row>
    <row r="107" spans="2:13" s="130" customFormat="1" ht="22.5" customHeight="1" x14ac:dyDescent="0.3">
      <c r="B107" s="161">
        <v>3</v>
      </c>
      <c r="C107" s="229"/>
      <c r="D107" s="148"/>
      <c r="E107" s="162" t="str">
        <f t="shared" si="17"/>
        <v/>
      </c>
      <c r="F107" s="163"/>
      <c r="G107" s="164" t="str">
        <f t="shared" si="18"/>
        <v/>
      </c>
    </row>
    <row r="108" spans="2:13" s="130" customFormat="1" ht="22.5" customHeight="1" x14ac:dyDescent="0.3">
      <c r="B108" s="161">
        <v>4</v>
      </c>
      <c r="C108" s="229"/>
      <c r="D108" s="148"/>
      <c r="E108" s="162" t="str">
        <f t="shared" si="17"/>
        <v/>
      </c>
      <c r="F108" s="163"/>
      <c r="G108" s="164" t="str">
        <f t="shared" si="18"/>
        <v/>
      </c>
    </row>
    <row r="109" spans="2:13" s="130" customFormat="1" ht="22.5" customHeight="1" x14ac:dyDescent="0.3">
      <c r="B109" s="161">
        <v>5</v>
      </c>
      <c r="C109" s="229"/>
      <c r="D109" s="148"/>
      <c r="E109" s="162" t="str">
        <f t="shared" si="17"/>
        <v/>
      </c>
      <c r="F109" s="163"/>
      <c r="G109" s="164" t="str">
        <f t="shared" si="18"/>
        <v/>
      </c>
    </row>
    <row r="110" spans="2:13" s="130" customFormat="1" ht="22.5" customHeight="1" thickBot="1" x14ac:dyDescent="0.35">
      <c r="B110" s="165">
        <v>6</v>
      </c>
      <c r="C110" s="230"/>
      <c r="D110" s="150"/>
      <c r="E110" s="166" t="str">
        <f t="shared" si="17"/>
        <v/>
      </c>
      <c r="F110" s="167"/>
      <c r="G110" s="168" t="str">
        <f t="shared" si="18"/>
        <v/>
      </c>
    </row>
    <row r="111" spans="2:13" s="75" customFormat="1" ht="33.75" customHeight="1" thickTop="1" thickBot="1" x14ac:dyDescent="0.35">
      <c r="B111" s="122"/>
      <c r="C111" s="123"/>
      <c r="D111" s="124" t="s">
        <v>58</v>
      </c>
      <c r="E111" s="124">
        <f>SUM(E105:E110)</f>
        <v>0</v>
      </c>
      <c r="F111" s="125" t="s">
        <v>61</v>
      </c>
      <c r="G111" s="126">
        <f>SUM(G105:G110)</f>
        <v>0</v>
      </c>
      <c r="L111" s="76"/>
      <c r="M111" s="76"/>
    </row>
    <row r="112" spans="2:13" s="151" customFormat="1" ht="42" customHeight="1" thickTop="1" x14ac:dyDescent="0.3">
      <c r="B112" s="156"/>
      <c r="C112" s="157"/>
      <c r="D112" s="156"/>
      <c r="E112" s="156"/>
      <c r="F112" s="158" t="s">
        <v>62</v>
      </c>
      <c r="G112" s="159" t="str">
        <f>IF(E111=0,"",G111/E111)</f>
        <v/>
      </c>
      <c r="L112" s="160"/>
      <c r="M112" s="160"/>
    </row>
    <row r="114" spans="2:13" s="151" customFormat="1" ht="41.25" customHeight="1" thickBot="1" x14ac:dyDescent="0.35">
      <c r="B114" s="454" t="s">
        <v>130</v>
      </c>
      <c r="C114" s="454" t="s">
        <v>82</v>
      </c>
      <c r="D114" s="454" t="s">
        <v>82</v>
      </c>
      <c r="E114" s="454" t="s">
        <v>82</v>
      </c>
      <c r="F114" s="454" t="s">
        <v>82</v>
      </c>
      <c r="G114" s="454" t="s">
        <v>82</v>
      </c>
    </row>
    <row r="115" spans="2:13" s="47" customFormat="1" ht="33.75" customHeight="1" thickTop="1" x14ac:dyDescent="0.3">
      <c r="B115" s="152" t="s">
        <v>56</v>
      </c>
      <c r="C115" s="153" t="s">
        <v>57</v>
      </c>
      <c r="D115" s="152" t="s">
        <v>17</v>
      </c>
      <c r="E115" s="154" t="s">
        <v>58</v>
      </c>
      <c r="F115" s="154" t="s">
        <v>59</v>
      </c>
      <c r="G115" s="155" t="s">
        <v>60</v>
      </c>
    </row>
    <row r="116" spans="2:13" s="130" customFormat="1" ht="22.5" customHeight="1" x14ac:dyDescent="0.3">
      <c r="B116" s="161">
        <v>1</v>
      </c>
      <c r="C116" s="229"/>
      <c r="D116" s="148"/>
      <c r="E116" s="162" t="str">
        <f t="shared" ref="E116:E121" si="19">IF(D116="","",HLOOKUP(D116,$L$7:$M$13,2,FALSE))</f>
        <v/>
      </c>
      <c r="F116" s="163"/>
      <c r="G116" s="164" t="str">
        <f t="shared" ref="G116:G121" si="20">IF(F116="","",IF(D116=$L$7,VLOOKUP(F116,$K$8:$L$13,2,FALSE),VLOOKUP(F116,$K$8:$M$13,3,FALSE)))</f>
        <v/>
      </c>
    </row>
    <row r="117" spans="2:13" s="130" customFormat="1" ht="22.5" customHeight="1" x14ac:dyDescent="0.3">
      <c r="B117" s="161">
        <v>2</v>
      </c>
      <c r="C117" s="229"/>
      <c r="D117" s="148"/>
      <c r="E117" s="162" t="str">
        <f t="shared" si="19"/>
        <v/>
      </c>
      <c r="F117" s="163"/>
      <c r="G117" s="164" t="str">
        <f t="shared" si="20"/>
        <v/>
      </c>
    </row>
    <row r="118" spans="2:13" s="130" customFormat="1" ht="22.5" customHeight="1" x14ac:dyDescent="0.3">
      <c r="B118" s="161">
        <v>3</v>
      </c>
      <c r="C118" s="229"/>
      <c r="D118" s="148"/>
      <c r="E118" s="162" t="str">
        <f t="shared" si="19"/>
        <v/>
      </c>
      <c r="F118" s="163"/>
      <c r="G118" s="164" t="str">
        <f t="shared" si="20"/>
        <v/>
      </c>
    </row>
    <row r="119" spans="2:13" s="130" customFormat="1" ht="22.5" customHeight="1" x14ac:dyDescent="0.3">
      <c r="B119" s="161">
        <v>4</v>
      </c>
      <c r="C119" s="229"/>
      <c r="D119" s="148"/>
      <c r="E119" s="162" t="str">
        <f t="shared" si="19"/>
        <v/>
      </c>
      <c r="F119" s="163"/>
      <c r="G119" s="164" t="str">
        <f t="shared" si="20"/>
        <v/>
      </c>
    </row>
    <row r="120" spans="2:13" s="130" customFormat="1" ht="22.5" customHeight="1" x14ac:dyDescent="0.3">
      <c r="B120" s="161">
        <v>5</v>
      </c>
      <c r="C120" s="229"/>
      <c r="D120" s="148"/>
      <c r="E120" s="162" t="str">
        <f t="shared" si="19"/>
        <v/>
      </c>
      <c r="F120" s="163"/>
      <c r="G120" s="164" t="str">
        <f t="shared" si="20"/>
        <v/>
      </c>
    </row>
    <row r="121" spans="2:13" s="130" customFormat="1" ht="22.5" customHeight="1" thickBot="1" x14ac:dyDescent="0.35">
      <c r="B121" s="165">
        <v>6</v>
      </c>
      <c r="C121" s="230"/>
      <c r="D121" s="150"/>
      <c r="E121" s="166" t="str">
        <f t="shared" si="19"/>
        <v/>
      </c>
      <c r="F121" s="167"/>
      <c r="G121" s="168" t="str">
        <f t="shared" si="20"/>
        <v/>
      </c>
    </row>
    <row r="122" spans="2:13" s="75" customFormat="1" ht="33.75" customHeight="1" thickTop="1" thickBot="1" x14ac:dyDescent="0.35">
      <c r="B122" s="122"/>
      <c r="C122" s="123"/>
      <c r="D122" s="124" t="s">
        <v>58</v>
      </c>
      <c r="E122" s="124">
        <f>SUM(E116:E121)</f>
        <v>0</v>
      </c>
      <c r="F122" s="125" t="s">
        <v>61</v>
      </c>
      <c r="G122" s="126">
        <f>SUM(G116:G121)</f>
        <v>0</v>
      </c>
      <c r="L122" s="76"/>
      <c r="M122" s="76"/>
    </row>
    <row r="123" spans="2:13" s="151" customFormat="1" ht="42" customHeight="1" thickTop="1" x14ac:dyDescent="0.3">
      <c r="B123" s="156"/>
      <c r="C123" s="157"/>
      <c r="D123" s="156"/>
      <c r="E123" s="156"/>
      <c r="F123" s="158" t="s">
        <v>62</v>
      </c>
      <c r="G123" s="159" t="str">
        <f>IF(E122=0,"",G122/E122)</f>
        <v/>
      </c>
      <c r="L123" s="160"/>
      <c r="M123" s="160"/>
    </row>
  </sheetData>
  <mergeCells count="11">
    <mergeCell ref="B114:G114"/>
    <mergeCell ref="B48:G48"/>
    <mergeCell ref="B59:G59"/>
    <mergeCell ref="B70:G70"/>
    <mergeCell ref="B81:G81"/>
    <mergeCell ref="B92:G92"/>
    <mergeCell ref="K6:M6"/>
    <mergeCell ref="B15:G15"/>
    <mergeCell ref="B26:G26"/>
    <mergeCell ref="B37:G37"/>
    <mergeCell ref="B103:G103"/>
  </mergeCells>
  <dataValidations count="11">
    <dataValidation type="list" allowBlank="1" showInputMessage="1" showErrorMessage="1" sqref="D17:D21 D28:D32 D50:D54 D61:D65 D72:D76 D83:D87 D116:D120 D94:D98 D105:D109 D39:D43">
      <formula1>$L$7:$M$7</formula1>
    </dataValidation>
    <dataValidation type="list" allowBlank="1" showInputMessage="1" showErrorMessage="1" sqref="F17:F22 F28:F33 F50:F55 F61:F66 F72:F77 F83:F88 F116:F121 F94:F99 F105:F110 F39:F44">
      <formula1>$K$9:$K$13</formula1>
    </dataValidation>
    <dataValidation type="list" allowBlank="1" showInputMessage="1" showErrorMessage="1" sqref="D33">
      <formula1>$E$5:$E$6</formula1>
    </dataValidation>
    <dataValidation type="list" allowBlank="1" showInputMessage="1" showErrorMessage="1" sqref="D55">
      <formula1>$E$5:$E$6</formula1>
    </dataValidation>
    <dataValidation type="list" allowBlank="1" showInputMessage="1" showErrorMessage="1" sqref="D66">
      <formula1>$E$5:$E$6</formula1>
    </dataValidation>
    <dataValidation type="list" allowBlank="1" showInputMessage="1" showErrorMessage="1" sqref="D77">
      <formula1>$E$5:$E$6</formula1>
    </dataValidation>
    <dataValidation type="list" allowBlank="1" showInputMessage="1" showErrorMessage="1" sqref="D88">
      <formula1>$E$5:$E$6</formula1>
    </dataValidation>
    <dataValidation type="list" allowBlank="1" showInputMessage="1" showErrorMessage="1" sqref="D121">
      <formula1>$E$5:$E$6</formula1>
    </dataValidation>
    <dataValidation type="list" allowBlank="1" showInputMessage="1" showErrorMessage="1" sqref="D99">
      <formula1>$E$5:$E$6</formula1>
    </dataValidation>
    <dataValidation type="list" allowBlank="1" showInputMessage="1" showErrorMessage="1" sqref="D110">
      <formula1>$E$5:$E$6</formula1>
    </dataValidation>
    <dataValidation type="list" allowBlank="1" showInputMessage="1" showErrorMessage="1" sqref="D44">
      <formula1>$E$5:$E$6</formula1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Controls!$E$5:$E$6</xm:f>
          </x14:formula1>
          <xm:sqref>D22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N143"/>
  <sheetViews>
    <sheetView workbookViewId="0"/>
  </sheetViews>
  <sheetFormatPr defaultColWidth="8.77734375" defaultRowHeight="14.4" x14ac:dyDescent="0.3"/>
  <cols>
    <col min="1" max="1" width="3.77734375" style="67" customWidth="1"/>
    <col min="2" max="2" width="17.21875" style="82" customWidth="1"/>
    <col min="3" max="3" width="53.5546875" style="81" customWidth="1"/>
    <col min="4" max="4" width="15.77734375" style="82" customWidth="1"/>
    <col min="5" max="7" width="12.21875" style="82" customWidth="1"/>
    <col min="8" max="8" width="12.21875" style="81" customWidth="1"/>
    <col min="9" max="10" width="8.77734375" style="67"/>
    <col min="11" max="11" width="26" style="67" customWidth="1"/>
    <col min="12" max="13" width="8.77734375" style="68"/>
    <col min="14" max="16384" width="8.77734375" style="67"/>
  </cols>
  <sheetData>
    <row r="1" spans="2:14" ht="7.5" customHeight="1" x14ac:dyDescent="0.3"/>
    <row r="2" spans="2:14" s="72" customFormat="1" ht="52.5" customHeight="1" x14ac:dyDescent="0.3">
      <c r="B2" s="77" t="s">
        <v>133</v>
      </c>
      <c r="C2" s="78"/>
      <c r="D2" s="79"/>
      <c r="E2" s="79"/>
      <c r="F2" s="79"/>
      <c r="G2" s="79"/>
      <c r="H2" s="78"/>
      <c r="L2" s="73"/>
      <c r="M2" s="73"/>
    </row>
    <row r="3" spans="2:14" s="117" customFormat="1" ht="26.25" customHeight="1" x14ac:dyDescent="0.3">
      <c r="B3" s="464" t="s">
        <v>90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</row>
    <row r="4" spans="2:14" s="119" customFormat="1" ht="18.75" customHeight="1" x14ac:dyDescent="0.3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2:14" s="130" customFormat="1" ht="19.5" customHeight="1" x14ac:dyDescent="0.3">
      <c r="B5" s="127" t="s">
        <v>69</v>
      </c>
      <c r="C5" s="128"/>
      <c r="D5" s="129"/>
      <c r="E5" s="129"/>
      <c r="F5" s="129"/>
      <c r="G5" s="129"/>
      <c r="H5" s="128"/>
      <c r="L5" s="131"/>
      <c r="M5" s="131"/>
    </row>
    <row r="6" spans="2:14" s="130" customFormat="1" ht="19.5" customHeight="1" x14ac:dyDescent="0.3">
      <c r="B6" s="132">
        <v>1</v>
      </c>
      <c r="C6" s="133" t="s">
        <v>111</v>
      </c>
      <c r="D6" s="129"/>
      <c r="E6" s="129"/>
      <c r="F6" s="129"/>
      <c r="G6" s="129"/>
      <c r="H6" s="128"/>
      <c r="I6" s="134"/>
      <c r="J6" s="134"/>
      <c r="K6" s="465"/>
      <c r="L6" s="465"/>
      <c r="M6" s="465"/>
      <c r="N6" s="134"/>
    </row>
    <row r="7" spans="2:14" s="130" customFormat="1" ht="19.5" customHeight="1" x14ac:dyDescent="0.3">
      <c r="B7" s="132">
        <f t="shared" ref="B7:B13" si="0">B6+1</f>
        <v>2</v>
      </c>
      <c r="C7" s="133" t="s">
        <v>91</v>
      </c>
      <c r="D7" s="129"/>
      <c r="E7" s="129"/>
      <c r="F7" s="129"/>
      <c r="G7" s="129"/>
      <c r="H7" s="128"/>
      <c r="I7" s="134"/>
      <c r="J7" s="134"/>
      <c r="K7" s="135"/>
      <c r="L7" s="136"/>
      <c r="M7" s="136"/>
      <c r="N7" s="134"/>
    </row>
    <row r="8" spans="2:14" s="130" customFormat="1" ht="19.5" customHeight="1" x14ac:dyDescent="0.3">
      <c r="B8" s="132">
        <f t="shared" si="0"/>
        <v>3</v>
      </c>
      <c r="C8" s="133" t="s">
        <v>92</v>
      </c>
      <c r="D8" s="129"/>
      <c r="E8" s="129"/>
      <c r="F8" s="129"/>
      <c r="G8" s="129"/>
      <c r="H8" s="128"/>
      <c r="I8" s="134"/>
      <c r="J8" s="134"/>
      <c r="K8" s="134"/>
      <c r="L8" s="137"/>
      <c r="M8" s="137"/>
      <c r="N8" s="134"/>
    </row>
    <row r="9" spans="2:14" s="130" customFormat="1" ht="19.5" customHeight="1" x14ac:dyDescent="0.3">
      <c r="B9" s="132">
        <f t="shared" si="0"/>
        <v>4</v>
      </c>
      <c r="C9" s="133" t="s">
        <v>93</v>
      </c>
      <c r="D9" s="129"/>
      <c r="E9" s="129"/>
      <c r="F9" s="129"/>
      <c r="G9" s="129"/>
      <c r="H9" s="128"/>
      <c r="I9" s="134"/>
      <c r="J9" s="134"/>
      <c r="K9" s="134"/>
      <c r="L9" s="137"/>
      <c r="M9" s="137"/>
      <c r="N9" s="134"/>
    </row>
    <row r="10" spans="2:14" s="130" customFormat="1" ht="19.5" customHeight="1" x14ac:dyDescent="0.3">
      <c r="B10" s="132">
        <f t="shared" si="0"/>
        <v>5</v>
      </c>
      <c r="C10" s="133" t="s">
        <v>94</v>
      </c>
      <c r="D10" s="129"/>
      <c r="E10" s="129"/>
      <c r="F10" s="129"/>
      <c r="G10" s="129"/>
      <c r="H10" s="128"/>
      <c r="I10" s="134"/>
      <c r="J10" s="134"/>
      <c r="K10" s="134"/>
      <c r="L10" s="137"/>
      <c r="M10" s="137"/>
      <c r="N10" s="134"/>
    </row>
    <row r="11" spans="2:14" s="130" customFormat="1" ht="19.5" customHeight="1" x14ac:dyDescent="0.3">
      <c r="B11" s="132">
        <f t="shared" si="0"/>
        <v>6</v>
      </c>
      <c r="C11" s="133" t="s">
        <v>171</v>
      </c>
      <c r="D11" s="129"/>
      <c r="E11" s="129"/>
      <c r="F11" s="129"/>
      <c r="G11" s="129"/>
      <c r="H11" s="128"/>
      <c r="I11" s="134"/>
      <c r="J11" s="134"/>
      <c r="K11" s="134"/>
      <c r="L11" s="137"/>
      <c r="M11" s="137"/>
      <c r="N11" s="134"/>
    </row>
    <row r="12" spans="2:14" s="130" customFormat="1" ht="19.5" customHeight="1" x14ac:dyDescent="0.3">
      <c r="B12" s="132">
        <f t="shared" si="0"/>
        <v>7</v>
      </c>
      <c r="C12" s="133" t="s">
        <v>172</v>
      </c>
      <c r="D12" s="129"/>
      <c r="E12" s="129"/>
      <c r="F12" s="129"/>
      <c r="G12" s="129"/>
      <c r="H12" s="128"/>
      <c r="I12" s="134"/>
      <c r="J12" s="134"/>
      <c r="K12" s="134"/>
      <c r="L12" s="137"/>
      <c r="M12" s="137"/>
      <c r="N12" s="134"/>
    </row>
    <row r="13" spans="2:14" s="130" customFormat="1" ht="19.5" customHeight="1" x14ac:dyDescent="0.3">
      <c r="B13" s="132">
        <f t="shared" si="0"/>
        <v>8</v>
      </c>
      <c r="C13" s="138" t="s">
        <v>121</v>
      </c>
      <c r="D13" s="129"/>
      <c r="E13" s="129"/>
      <c r="F13" s="129"/>
      <c r="G13" s="129"/>
      <c r="H13" s="128"/>
      <c r="I13" s="134"/>
      <c r="J13" s="134"/>
      <c r="K13" s="134"/>
      <c r="L13" s="137"/>
      <c r="M13" s="137"/>
      <c r="N13" s="134"/>
    </row>
    <row r="14" spans="2:14" x14ac:dyDescent="0.3">
      <c r="B14" s="83"/>
      <c r="C14" s="84"/>
      <c r="I14" s="69"/>
      <c r="J14" s="69"/>
      <c r="K14" s="69"/>
      <c r="L14" s="70"/>
      <c r="M14" s="70"/>
      <c r="N14" s="69"/>
    </row>
    <row r="15" spans="2:14" s="74" customFormat="1" ht="37.5" customHeight="1" x14ac:dyDescent="0.3">
      <c r="B15" s="455" t="s">
        <v>110</v>
      </c>
      <c r="C15" s="456"/>
      <c r="D15" s="457"/>
      <c r="E15" s="458" t="s">
        <v>108</v>
      </c>
      <c r="F15" s="459"/>
      <c r="G15" s="455" t="s">
        <v>109</v>
      </c>
      <c r="H15" s="457"/>
      <c r="L15" s="10"/>
      <c r="M15" s="10"/>
    </row>
    <row r="16" spans="2:14" s="75" customFormat="1" ht="27" customHeight="1" thickBot="1" x14ac:dyDescent="0.35">
      <c r="B16" s="469" t="s">
        <v>95</v>
      </c>
      <c r="C16" s="470"/>
      <c r="D16" s="97" t="s">
        <v>96</v>
      </c>
      <c r="E16" s="98" t="s">
        <v>107</v>
      </c>
      <c r="F16" s="99" t="s">
        <v>60</v>
      </c>
      <c r="G16" s="100" t="s">
        <v>107</v>
      </c>
      <c r="H16" s="97" t="s">
        <v>60</v>
      </c>
      <c r="L16" s="76"/>
      <c r="M16" s="76"/>
    </row>
    <row r="17" spans="2:13" s="46" customFormat="1" ht="27.75" customHeight="1" thickTop="1" x14ac:dyDescent="0.3">
      <c r="B17" s="471" t="s">
        <v>97</v>
      </c>
      <c r="C17" s="92" t="s">
        <v>98</v>
      </c>
      <c r="D17" s="93">
        <v>0.5</v>
      </c>
      <c r="E17" s="94"/>
      <c r="F17" s="95" t="str">
        <f>IF(E17="","",E17*$D17)</f>
        <v/>
      </c>
      <c r="G17" s="96"/>
      <c r="H17" s="93" t="str">
        <f>IF(G17="","",G17*$D17)</f>
        <v/>
      </c>
      <c r="L17" s="11"/>
      <c r="M17" s="11"/>
    </row>
    <row r="18" spans="2:13" s="46" customFormat="1" ht="27.75" customHeight="1" x14ac:dyDescent="0.3">
      <c r="B18" s="472"/>
      <c r="C18" s="87" t="s">
        <v>99</v>
      </c>
      <c r="D18" s="88">
        <v>1</v>
      </c>
      <c r="E18" s="90"/>
      <c r="F18" s="91" t="str">
        <f t="shared" ref="F18:H24" si="1">IF(E18="","",E18*$D18)</f>
        <v/>
      </c>
      <c r="G18" s="89"/>
      <c r="H18" s="88" t="str">
        <f t="shared" si="1"/>
        <v/>
      </c>
      <c r="L18" s="11"/>
      <c r="M18" s="11"/>
    </row>
    <row r="19" spans="2:13" s="46" customFormat="1" ht="27.75" customHeight="1" thickBot="1" x14ac:dyDescent="0.35">
      <c r="B19" s="473"/>
      <c r="C19" s="101" t="s">
        <v>100</v>
      </c>
      <c r="D19" s="102">
        <v>1.5</v>
      </c>
      <c r="E19" s="103"/>
      <c r="F19" s="104" t="str">
        <f t="shared" si="1"/>
        <v/>
      </c>
      <c r="G19" s="105"/>
      <c r="H19" s="102" t="str">
        <f t="shared" si="1"/>
        <v/>
      </c>
      <c r="L19" s="11"/>
      <c r="M19" s="11"/>
    </row>
    <row r="20" spans="2:13" s="46" customFormat="1" ht="27.75" customHeight="1" thickTop="1" x14ac:dyDescent="0.3">
      <c r="B20" s="474" t="s">
        <v>101</v>
      </c>
      <c r="C20" s="106" t="s">
        <v>102</v>
      </c>
      <c r="D20" s="107">
        <v>1.5</v>
      </c>
      <c r="E20" s="108"/>
      <c r="F20" s="109" t="str">
        <f t="shared" si="1"/>
        <v/>
      </c>
      <c r="G20" s="110"/>
      <c r="H20" s="107" t="str">
        <f t="shared" si="1"/>
        <v/>
      </c>
      <c r="L20" s="11"/>
      <c r="M20" s="11"/>
    </row>
    <row r="21" spans="2:13" s="46" customFormat="1" ht="27.75" customHeight="1" x14ac:dyDescent="0.3">
      <c r="B21" s="472"/>
      <c r="C21" s="87" t="s">
        <v>103</v>
      </c>
      <c r="D21" s="88">
        <v>2</v>
      </c>
      <c r="E21" s="90"/>
      <c r="F21" s="91" t="str">
        <f t="shared" si="1"/>
        <v/>
      </c>
      <c r="G21" s="89"/>
      <c r="H21" s="88" t="str">
        <f t="shared" si="1"/>
        <v/>
      </c>
      <c r="L21" s="11"/>
      <c r="M21" s="11"/>
    </row>
    <row r="22" spans="2:13" s="46" customFormat="1" ht="27.75" customHeight="1" x14ac:dyDescent="0.3">
      <c r="B22" s="472"/>
      <c r="C22" s="87" t="s">
        <v>104</v>
      </c>
      <c r="D22" s="88">
        <v>2</v>
      </c>
      <c r="E22" s="90"/>
      <c r="F22" s="91" t="str">
        <f t="shared" si="1"/>
        <v/>
      </c>
      <c r="G22" s="89"/>
      <c r="H22" s="88" t="str">
        <f t="shared" si="1"/>
        <v/>
      </c>
      <c r="L22" s="11"/>
      <c r="M22" s="11"/>
    </row>
    <row r="23" spans="2:13" s="46" customFormat="1" ht="27.75" customHeight="1" x14ac:dyDescent="0.3">
      <c r="B23" s="472"/>
      <c r="C23" s="87" t="s">
        <v>105</v>
      </c>
      <c r="D23" s="88">
        <v>3</v>
      </c>
      <c r="E23" s="90">
        <v>3</v>
      </c>
      <c r="F23" s="91">
        <f t="shared" si="1"/>
        <v>9</v>
      </c>
      <c r="G23" s="89">
        <v>1</v>
      </c>
      <c r="H23" s="88">
        <f t="shared" si="1"/>
        <v>3</v>
      </c>
      <c r="L23" s="11"/>
      <c r="M23" s="11"/>
    </row>
    <row r="24" spans="2:13" s="46" customFormat="1" ht="27.75" customHeight="1" thickBot="1" x14ac:dyDescent="0.35">
      <c r="B24" s="475"/>
      <c r="C24" s="111" t="s">
        <v>106</v>
      </c>
      <c r="D24" s="112">
        <v>4</v>
      </c>
      <c r="E24" s="113">
        <v>1</v>
      </c>
      <c r="F24" s="114">
        <f t="shared" si="1"/>
        <v>4</v>
      </c>
      <c r="G24" s="115"/>
      <c r="H24" s="112" t="str">
        <f t="shared" si="1"/>
        <v/>
      </c>
      <c r="L24" s="11"/>
      <c r="M24" s="11"/>
    </row>
    <row r="25" spans="2:13" s="46" customFormat="1" ht="27.75" customHeight="1" thickTop="1" thickBot="1" x14ac:dyDescent="0.35">
      <c r="B25" s="460" t="s">
        <v>169</v>
      </c>
      <c r="C25" s="460"/>
      <c r="D25" s="461"/>
      <c r="E25" s="462">
        <v>0.35</v>
      </c>
      <c r="F25" s="463"/>
      <c r="G25" s="462">
        <v>0.35</v>
      </c>
      <c r="H25" s="476"/>
      <c r="L25" s="11"/>
      <c r="M25" s="11"/>
    </row>
    <row r="26" spans="2:13" s="74" customFormat="1" ht="37.5" customHeight="1" thickTop="1" x14ac:dyDescent="0.3">
      <c r="B26" s="466" t="s">
        <v>170</v>
      </c>
      <c r="C26" s="467"/>
      <c r="D26" s="468"/>
      <c r="E26" s="477">
        <f>IF(SUM(E17:E24,E25)=0,"",SUM(F17:F24)/E25)</f>
        <v>37.142857142857146</v>
      </c>
      <c r="F26" s="478"/>
      <c r="G26" s="477">
        <f>IF(SUM(G17:G24,G25)=0,"",SUM(H17:H24)/G25)</f>
        <v>8.5714285714285712</v>
      </c>
      <c r="H26" s="479"/>
      <c r="L26" s="10"/>
      <c r="M26" s="10"/>
    </row>
    <row r="27" spans="2:13" ht="34.5" customHeight="1" x14ac:dyDescent="0.3"/>
    <row r="28" spans="2:13" s="74" customFormat="1" ht="37.5" customHeight="1" x14ac:dyDescent="0.3">
      <c r="B28" s="455" t="s">
        <v>112</v>
      </c>
      <c r="C28" s="456"/>
      <c r="D28" s="457"/>
      <c r="E28" s="458" t="s">
        <v>108</v>
      </c>
      <c r="F28" s="459"/>
      <c r="G28" s="455" t="s">
        <v>109</v>
      </c>
      <c r="H28" s="457"/>
      <c r="L28" s="10"/>
      <c r="M28" s="10"/>
    </row>
    <row r="29" spans="2:13" s="75" customFormat="1" ht="27" customHeight="1" thickBot="1" x14ac:dyDescent="0.35">
      <c r="B29" s="469" t="s">
        <v>95</v>
      </c>
      <c r="C29" s="470"/>
      <c r="D29" s="97" t="s">
        <v>96</v>
      </c>
      <c r="E29" s="98" t="s">
        <v>107</v>
      </c>
      <c r="F29" s="99" t="s">
        <v>60</v>
      </c>
      <c r="G29" s="228" t="s">
        <v>107</v>
      </c>
      <c r="H29" s="97" t="s">
        <v>60</v>
      </c>
      <c r="L29" s="76"/>
      <c r="M29" s="76"/>
    </row>
    <row r="30" spans="2:13" s="46" customFormat="1" ht="27.75" customHeight="1" thickTop="1" x14ac:dyDescent="0.3">
      <c r="B30" s="471" t="s">
        <v>97</v>
      </c>
      <c r="C30" s="92" t="s">
        <v>98</v>
      </c>
      <c r="D30" s="93">
        <v>0.5</v>
      </c>
      <c r="E30" s="94"/>
      <c r="F30" s="95" t="str">
        <f>IF(E30="","",E30*$D30)</f>
        <v/>
      </c>
      <c r="G30" s="96"/>
      <c r="H30" s="93" t="str">
        <f>IF(G30="","",G30*$D30)</f>
        <v/>
      </c>
      <c r="L30" s="11"/>
      <c r="M30" s="11"/>
    </row>
    <row r="31" spans="2:13" s="46" customFormat="1" ht="27.75" customHeight="1" x14ac:dyDescent="0.3">
      <c r="B31" s="472"/>
      <c r="C31" s="87" t="s">
        <v>99</v>
      </c>
      <c r="D31" s="88">
        <v>1</v>
      </c>
      <c r="E31" s="90"/>
      <c r="F31" s="91" t="str">
        <f t="shared" ref="F31:F37" si="2">IF(E31="","",E31*$D31)</f>
        <v/>
      </c>
      <c r="G31" s="89"/>
      <c r="H31" s="88" t="str">
        <f t="shared" ref="H31:H37" si="3">IF(G31="","",G31*$D31)</f>
        <v/>
      </c>
      <c r="L31" s="11"/>
      <c r="M31" s="11"/>
    </row>
    <row r="32" spans="2:13" s="46" customFormat="1" ht="27.75" customHeight="1" thickBot="1" x14ac:dyDescent="0.35">
      <c r="B32" s="473"/>
      <c r="C32" s="101" t="s">
        <v>100</v>
      </c>
      <c r="D32" s="102">
        <v>1.5</v>
      </c>
      <c r="E32" s="103"/>
      <c r="F32" s="104" t="str">
        <f t="shared" si="2"/>
        <v/>
      </c>
      <c r="G32" s="105"/>
      <c r="H32" s="102" t="str">
        <f t="shared" si="3"/>
        <v/>
      </c>
      <c r="L32" s="11"/>
      <c r="M32" s="11"/>
    </row>
    <row r="33" spans="2:13" s="46" customFormat="1" ht="27.75" customHeight="1" thickTop="1" x14ac:dyDescent="0.3">
      <c r="B33" s="474" t="s">
        <v>101</v>
      </c>
      <c r="C33" s="106" t="s">
        <v>102</v>
      </c>
      <c r="D33" s="107">
        <v>1.5</v>
      </c>
      <c r="E33" s="108"/>
      <c r="F33" s="109" t="str">
        <f t="shared" si="2"/>
        <v/>
      </c>
      <c r="G33" s="110"/>
      <c r="H33" s="107" t="str">
        <f t="shared" si="3"/>
        <v/>
      </c>
      <c r="L33" s="11"/>
      <c r="M33" s="11"/>
    </row>
    <row r="34" spans="2:13" s="46" customFormat="1" ht="27.75" customHeight="1" x14ac:dyDescent="0.3">
      <c r="B34" s="472"/>
      <c r="C34" s="87" t="s">
        <v>103</v>
      </c>
      <c r="D34" s="88">
        <v>2</v>
      </c>
      <c r="E34" s="90"/>
      <c r="F34" s="91" t="str">
        <f t="shared" si="2"/>
        <v/>
      </c>
      <c r="G34" s="89"/>
      <c r="H34" s="88" t="str">
        <f t="shared" si="3"/>
        <v/>
      </c>
      <c r="L34" s="11"/>
      <c r="M34" s="11"/>
    </row>
    <row r="35" spans="2:13" s="46" customFormat="1" ht="27.75" customHeight="1" x14ac:dyDescent="0.3">
      <c r="B35" s="472"/>
      <c r="C35" s="87" t="s">
        <v>104</v>
      </c>
      <c r="D35" s="88">
        <v>2</v>
      </c>
      <c r="E35" s="90"/>
      <c r="F35" s="91" t="str">
        <f t="shared" si="2"/>
        <v/>
      </c>
      <c r="G35" s="89"/>
      <c r="H35" s="88" t="str">
        <f t="shared" si="3"/>
        <v/>
      </c>
      <c r="L35" s="11"/>
      <c r="M35" s="11"/>
    </row>
    <row r="36" spans="2:13" s="46" customFormat="1" ht="27.75" customHeight="1" x14ac:dyDescent="0.3">
      <c r="B36" s="472"/>
      <c r="C36" s="87" t="s">
        <v>105</v>
      </c>
      <c r="D36" s="88">
        <v>3</v>
      </c>
      <c r="E36" s="90"/>
      <c r="F36" s="91" t="str">
        <f t="shared" si="2"/>
        <v/>
      </c>
      <c r="G36" s="89"/>
      <c r="H36" s="88" t="str">
        <f t="shared" si="3"/>
        <v/>
      </c>
      <c r="L36" s="11"/>
      <c r="M36" s="11"/>
    </row>
    <row r="37" spans="2:13" s="46" customFormat="1" ht="27.75" customHeight="1" thickBot="1" x14ac:dyDescent="0.35">
      <c r="B37" s="475"/>
      <c r="C37" s="111" t="s">
        <v>106</v>
      </c>
      <c r="D37" s="112">
        <v>4</v>
      </c>
      <c r="E37" s="113"/>
      <c r="F37" s="114" t="str">
        <f t="shared" si="2"/>
        <v/>
      </c>
      <c r="G37" s="115"/>
      <c r="H37" s="112" t="str">
        <f t="shared" si="3"/>
        <v/>
      </c>
      <c r="L37" s="11"/>
      <c r="M37" s="11"/>
    </row>
    <row r="38" spans="2:13" s="46" customFormat="1" ht="27.75" customHeight="1" thickTop="1" thickBot="1" x14ac:dyDescent="0.35">
      <c r="B38" s="460" t="s">
        <v>169</v>
      </c>
      <c r="C38" s="460"/>
      <c r="D38" s="461"/>
      <c r="E38" s="462"/>
      <c r="F38" s="463"/>
      <c r="G38" s="462"/>
      <c r="H38" s="476"/>
      <c r="L38" s="11"/>
      <c r="M38" s="11"/>
    </row>
    <row r="39" spans="2:13" s="74" customFormat="1" ht="37.5" customHeight="1" thickTop="1" x14ac:dyDescent="0.3">
      <c r="B39" s="466" t="s">
        <v>170</v>
      </c>
      <c r="C39" s="467"/>
      <c r="D39" s="468"/>
      <c r="E39" s="477" t="str">
        <f>IF(SUM(E30:E37,E38)=0,"",SUM(F30:F37)/E38)</f>
        <v/>
      </c>
      <c r="F39" s="478"/>
      <c r="G39" s="477" t="str">
        <f>IF(SUM(G30:G37,G38)=0,"",SUM(H30:H37)/G38)</f>
        <v/>
      </c>
      <c r="H39" s="479"/>
      <c r="L39" s="10"/>
      <c r="M39" s="10"/>
    </row>
    <row r="40" spans="2:13" ht="34.5" customHeight="1" x14ac:dyDescent="0.3"/>
    <row r="41" spans="2:13" s="74" customFormat="1" ht="37.5" customHeight="1" x14ac:dyDescent="0.3">
      <c r="B41" s="455" t="s">
        <v>113</v>
      </c>
      <c r="C41" s="456"/>
      <c r="D41" s="457"/>
      <c r="E41" s="458" t="s">
        <v>108</v>
      </c>
      <c r="F41" s="459"/>
      <c r="G41" s="455" t="s">
        <v>109</v>
      </c>
      <c r="H41" s="457"/>
      <c r="L41" s="10"/>
      <c r="M41" s="10"/>
    </row>
    <row r="42" spans="2:13" s="75" customFormat="1" ht="27" customHeight="1" thickBot="1" x14ac:dyDescent="0.35">
      <c r="B42" s="469" t="s">
        <v>95</v>
      </c>
      <c r="C42" s="470"/>
      <c r="D42" s="97" t="s">
        <v>96</v>
      </c>
      <c r="E42" s="98" t="s">
        <v>107</v>
      </c>
      <c r="F42" s="99" t="s">
        <v>60</v>
      </c>
      <c r="G42" s="228" t="s">
        <v>107</v>
      </c>
      <c r="H42" s="97" t="s">
        <v>60</v>
      </c>
      <c r="L42" s="76"/>
      <c r="M42" s="76"/>
    </row>
    <row r="43" spans="2:13" s="46" customFormat="1" ht="27.75" customHeight="1" thickTop="1" x14ac:dyDescent="0.3">
      <c r="B43" s="471" t="s">
        <v>97</v>
      </c>
      <c r="C43" s="92" t="s">
        <v>98</v>
      </c>
      <c r="D43" s="93">
        <v>0.5</v>
      </c>
      <c r="E43" s="94"/>
      <c r="F43" s="95" t="str">
        <f>IF(E43="","",E43*$D43)</f>
        <v/>
      </c>
      <c r="G43" s="96"/>
      <c r="H43" s="93" t="str">
        <f>IF(G43="","",G43*$D43)</f>
        <v/>
      </c>
      <c r="L43" s="11"/>
      <c r="M43" s="11"/>
    </row>
    <row r="44" spans="2:13" s="46" customFormat="1" ht="27.75" customHeight="1" x14ac:dyDescent="0.3">
      <c r="B44" s="472"/>
      <c r="C44" s="87" t="s">
        <v>99</v>
      </c>
      <c r="D44" s="88">
        <v>1</v>
      </c>
      <c r="E44" s="90"/>
      <c r="F44" s="91" t="str">
        <f t="shared" ref="F44:F50" si="4">IF(E44="","",E44*$D44)</f>
        <v/>
      </c>
      <c r="G44" s="89"/>
      <c r="H44" s="88" t="str">
        <f t="shared" ref="H44:H50" si="5">IF(G44="","",G44*$D44)</f>
        <v/>
      </c>
      <c r="L44" s="11"/>
      <c r="M44" s="11"/>
    </row>
    <row r="45" spans="2:13" s="46" customFormat="1" ht="27.75" customHeight="1" thickBot="1" x14ac:dyDescent="0.35">
      <c r="B45" s="473"/>
      <c r="C45" s="101" t="s">
        <v>100</v>
      </c>
      <c r="D45" s="102">
        <v>1.5</v>
      </c>
      <c r="E45" s="103"/>
      <c r="F45" s="104" t="str">
        <f t="shared" si="4"/>
        <v/>
      </c>
      <c r="G45" s="105"/>
      <c r="H45" s="102" t="str">
        <f t="shared" si="5"/>
        <v/>
      </c>
      <c r="L45" s="11"/>
      <c r="M45" s="11"/>
    </row>
    <row r="46" spans="2:13" s="46" customFormat="1" ht="27.75" customHeight="1" thickTop="1" x14ac:dyDescent="0.3">
      <c r="B46" s="474" t="s">
        <v>101</v>
      </c>
      <c r="C46" s="106" t="s">
        <v>102</v>
      </c>
      <c r="D46" s="107">
        <v>1.5</v>
      </c>
      <c r="E46" s="108"/>
      <c r="F46" s="109" t="str">
        <f t="shared" si="4"/>
        <v/>
      </c>
      <c r="G46" s="110"/>
      <c r="H46" s="107" t="str">
        <f t="shared" si="5"/>
        <v/>
      </c>
      <c r="L46" s="11"/>
      <c r="M46" s="11"/>
    </row>
    <row r="47" spans="2:13" s="46" customFormat="1" ht="27.75" customHeight="1" x14ac:dyDescent="0.3">
      <c r="B47" s="472"/>
      <c r="C47" s="87" t="s">
        <v>103</v>
      </c>
      <c r="D47" s="88">
        <v>2</v>
      </c>
      <c r="E47" s="90"/>
      <c r="F47" s="91" t="str">
        <f t="shared" si="4"/>
        <v/>
      </c>
      <c r="G47" s="89"/>
      <c r="H47" s="88" t="str">
        <f t="shared" si="5"/>
        <v/>
      </c>
      <c r="L47" s="11"/>
      <c r="M47" s="11"/>
    </row>
    <row r="48" spans="2:13" s="46" customFormat="1" ht="27.75" customHeight="1" x14ac:dyDescent="0.3">
      <c r="B48" s="472"/>
      <c r="C48" s="87" t="s">
        <v>104</v>
      </c>
      <c r="D48" s="88">
        <v>2</v>
      </c>
      <c r="E48" s="90"/>
      <c r="F48" s="91" t="str">
        <f t="shared" si="4"/>
        <v/>
      </c>
      <c r="G48" s="89"/>
      <c r="H48" s="88" t="str">
        <f t="shared" si="5"/>
        <v/>
      </c>
      <c r="L48" s="11"/>
      <c r="M48" s="11"/>
    </row>
    <row r="49" spans="2:13" s="46" customFormat="1" ht="27.75" customHeight="1" x14ac:dyDescent="0.3">
      <c r="B49" s="472"/>
      <c r="C49" s="87" t="s">
        <v>105</v>
      </c>
      <c r="D49" s="88">
        <v>3</v>
      </c>
      <c r="E49" s="90"/>
      <c r="F49" s="91" t="str">
        <f t="shared" si="4"/>
        <v/>
      </c>
      <c r="G49" s="89"/>
      <c r="H49" s="88" t="str">
        <f t="shared" si="5"/>
        <v/>
      </c>
      <c r="L49" s="11"/>
      <c r="M49" s="11"/>
    </row>
    <row r="50" spans="2:13" s="46" customFormat="1" ht="27.75" customHeight="1" thickBot="1" x14ac:dyDescent="0.35">
      <c r="B50" s="475"/>
      <c r="C50" s="111" t="s">
        <v>106</v>
      </c>
      <c r="D50" s="112">
        <v>4</v>
      </c>
      <c r="E50" s="113"/>
      <c r="F50" s="114" t="str">
        <f t="shared" si="4"/>
        <v/>
      </c>
      <c r="G50" s="115"/>
      <c r="H50" s="112" t="str">
        <f t="shared" si="5"/>
        <v/>
      </c>
      <c r="L50" s="11"/>
      <c r="M50" s="11"/>
    </row>
    <row r="51" spans="2:13" s="46" customFormat="1" ht="27.75" customHeight="1" thickTop="1" thickBot="1" x14ac:dyDescent="0.35">
      <c r="B51" s="460" t="s">
        <v>169</v>
      </c>
      <c r="C51" s="460"/>
      <c r="D51" s="461"/>
      <c r="E51" s="462"/>
      <c r="F51" s="463"/>
      <c r="G51" s="462"/>
      <c r="H51" s="476"/>
      <c r="L51" s="11"/>
      <c r="M51" s="11"/>
    </row>
    <row r="52" spans="2:13" s="74" customFormat="1" ht="37.5" customHeight="1" thickTop="1" x14ac:dyDescent="0.3">
      <c r="B52" s="466" t="s">
        <v>170</v>
      </c>
      <c r="C52" s="467"/>
      <c r="D52" s="468"/>
      <c r="E52" s="477" t="str">
        <f>IF(SUM(E43:E50,E51)=0,"",SUM(F43:F50)/E51)</f>
        <v/>
      </c>
      <c r="F52" s="478"/>
      <c r="G52" s="477" t="str">
        <f>IF(SUM(G43:G50,G51)=0,"",SUM(H43:H50)/G51)</f>
        <v/>
      </c>
      <c r="H52" s="479"/>
      <c r="L52" s="10"/>
      <c r="M52" s="10"/>
    </row>
    <row r="53" spans="2:13" ht="33.75" customHeight="1" x14ac:dyDescent="0.3"/>
    <row r="54" spans="2:13" s="74" customFormat="1" ht="37.5" customHeight="1" x14ac:dyDescent="0.3">
      <c r="B54" s="455" t="s">
        <v>114</v>
      </c>
      <c r="C54" s="456"/>
      <c r="D54" s="457"/>
      <c r="E54" s="458" t="s">
        <v>108</v>
      </c>
      <c r="F54" s="459"/>
      <c r="G54" s="455" t="s">
        <v>109</v>
      </c>
      <c r="H54" s="457"/>
      <c r="L54" s="10"/>
      <c r="M54" s="10"/>
    </row>
    <row r="55" spans="2:13" s="75" customFormat="1" ht="27" customHeight="1" thickBot="1" x14ac:dyDescent="0.35">
      <c r="B55" s="469" t="s">
        <v>95</v>
      </c>
      <c r="C55" s="470"/>
      <c r="D55" s="97" t="s">
        <v>96</v>
      </c>
      <c r="E55" s="98" t="s">
        <v>107</v>
      </c>
      <c r="F55" s="99" t="s">
        <v>60</v>
      </c>
      <c r="G55" s="228" t="s">
        <v>107</v>
      </c>
      <c r="H55" s="97" t="s">
        <v>60</v>
      </c>
      <c r="L55" s="76"/>
      <c r="M55" s="76"/>
    </row>
    <row r="56" spans="2:13" s="46" customFormat="1" ht="27.75" customHeight="1" thickTop="1" x14ac:dyDescent="0.3">
      <c r="B56" s="471" t="s">
        <v>97</v>
      </c>
      <c r="C56" s="92" t="s">
        <v>98</v>
      </c>
      <c r="D56" s="93">
        <v>0.5</v>
      </c>
      <c r="E56" s="94"/>
      <c r="F56" s="95" t="str">
        <f>IF(E56="","",E56*$D56)</f>
        <v/>
      </c>
      <c r="G56" s="96"/>
      <c r="H56" s="93" t="str">
        <f>IF(G56="","",G56*$D56)</f>
        <v/>
      </c>
      <c r="L56" s="11"/>
      <c r="M56" s="11"/>
    </row>
    <row r="57" spans="2:13" s="46" customFormat="1" ht="27.75" customHeight="1" x14ac:dyDescent="0.3">
      <c r="B57" s="472"/>
      <c r="C57" s="87" t="s">
        <v>99</v>
      </c>
      <c r="D57" s="88">
        <v>1</v>
      </c>
      <c r="E57" s="90"/>
      <c r="F57" s="91" t="str">
        <f t="shared" ref="F57:F63" si="6">IF(E57="","",E57*$D57)</f>
        <v/>
      </c>
      <c r="G57" s="89"/>
      <c r="H57" s="88" t="str">
        <f t="shared" ref="H57:H63" si="7">IF(G57="","",G57*$D57)</f>
        <v/>
      </c>
      <c r="L57" s="11"/>
      <c r="M57" s="11"/>
    </row>
    <row r="58" spans="2:13" s="46" customFormat="1" ht="27.75" customHeight="1" thickBot="1" x14ac:dyDescent="0.35">
      <c r="B58" s="473"/>
      <c r="C58" s="101" t="s">
        <v>100</v>
      </c>
      <c r="D58" s="102">
        <v>1.5</v>
      </c>
      <c r="E58" s="103"/>
      <c r="F58" s="104" t="str">
        <f t="shared" si="6"/>
        <v/>
      </c>
      <c r="G58" s="105"/>
      <c r="H58" s="102" t="str">
        <f t="shared" si="7"/>
        <v/>
      </c>
      <c r="L58" s="11"/>
      <c r="M58" s="11"/>
    </row>
    <row r="59" spans="2:13" s="46" customFormat="1" ht="27.75" customHeight="1" thickTop="1" x14ac:dyDescent="0.3">
      <c r="B59" s="474" t="s">
        <v>101</v>
      </c>
      <c r="C59" s="106" t="s">
        <v>102</v>
      </c>
      <c r="D59" s="107">
        <v>1.5</v>
      </c>
      <c r="E59" s="108"/>
      <c r="F59" s="109" t="str">
        <f t="shared" si="6"/>
        <v/>
      </c>
      <c r="G59" s="110"/>
      <c r="H59" s="107" t="str">
        <f t="shared" si="7"/>
        <v/>
      </c>
      <c r="L59" s="11"/>
      <c r="M59" s="11"/>
    </row>
    <row r="60" spans="2:13" s="46" customFormat="1" ht="27.75" customHeight="1" x14ac:dyDescent="0.3">
      <c r="B60" s="472"/>
      <c r="C60" s="87" t="s">
        <v>103</v>
      </c>
      <c r="D60" s="88">
        <v>2</v>
      </c>
      <c r="E60" s="90"/>
      <c r="F60" s="91" t="str">
        <f t="shared" si="6"/>
        <v/>
      </c>
      <c r="G60" s="89"/>
      <c r="H60" s="88" t="str">
        <f t="shared" si="7"/>
        <v/>
      </c>
      <c r="L60" s="11"/>
      <c r="M60" s="11"/>
    </row>
    <row r="61" spans="2:13" s="46" customFormat="1" ht="27.75" customHeight="1" x14ac:dyDescent="0.3">
      <c r="B61" s="472"/>
      <c r="C61" s="87" t="s">
        <v>104</v>
      </c>
      <c r="D61" s="88">
        <v>2</v>
      </c>
      <c r="E61" s="90"/>
      <c r="F61" s="91" t="str">
        <f t="shared" si="6"/>
        <v/>
      </c>
      <c r="G61" s="89"/>
      <c r="H61" s="88" t="str">
        <f t="shared" si="7"/>
        <v/>
      </c>
      <c r="L61" s="11"/>
      <c r="M61" s="11"/>
    </row>
    <row r="62" spans="2:13" s="46" customFormat="1" ht="27.75" customHeight="1" x14ac:dyDescent="0.3">
      <c r="B62" s="472"/>
      <c r="C62" s="87" t="s">
        <v>105</v>
      </c>
      <c r="D62" s="88">
        <v>3</v>
      </c>
      <c r="E62" s="90"/>
      <c r="F62" s="91" t="str">
        <f t="shared" si="6"/>
        <v/>
      </c>
      <c r="G62" s="89"/>
      <c r="H62" s="88" t="str">
        <f t="shared" si="7"/>
        <v/>
      </c>
      <c r="L62" s="11"/>
      <c r="M62" s="11"/>
    </row>
    <row r="63" spans="2:13" s="46" customFormat="1" ht="27.75" customHeight="1" thickBot="1" x14ac:dyDescent="0.35">
      <c r="B63" s="475"/>
      <c r="C63" s="111" t="s">
        <v>106</v>
      </c>
      <c r="D63" s="112">
        <v>4</v>
      </c>
      <c r="E63" s="113"/>
      <c r="F63" s="114" t="str">
        <f t="shared" si="6"/>
        <v/>
      </c>
      <c r="G63" s="115"/>
      <c r="H63" s="112" t="str">
        <f t="shared" si="7"/>
        <v/>
      </c>
      <c r="L63" s="11"/>
      <c r="M63" s="11"/>
    </row>
    <row r="64" spans="2:13" s="46" customFormat="1" ht="27.75" customHeight="1" thickTop="1" thickBot="1" x14ac:dyDescent="0.35">
      <c r="B64" s="460" t="s">
        <v>169</v>
      </c>
      <c r="C64" s="460"/>
      <c r="D64" s="461"/>
      <c r="E64" s="462"/>
      <c r="F64" s="463"/>
      <c r="G64" s="462"/>
      <c r="H64" s="476"/>
      <c r="L64" s="11"/>
      <c r="M64" s="11"/>
    </row>
    <row r="65" spans="2:13" s="74" customFormat="1" ht="37.5" customHeight="1" thickTop="1" x14ac:dyDescent="0.3">
      <c r="B65" s="466" t="s">
        <v>170</v>
      </c>
      <c r="C65" s="467"/>
      <c r="D65" s="468"/>
      <c r="E65" s="477" t="str">
        <f>IF(SUM(E56:E63,E64)=0,"",SUM(F56:F63)/E64)</f>
        <v/>
      </c>
      <c r="F65" s="478"/>
      <c r="G65" s="477" t="str">
        <f>IF(SUM(G56:G63,G64)=0,"",SUM(H56:H63)/G64)</f>
        <v/>
      </c>
      <c r="H65" s="479"/>
      <c r="L65" s="10"/>
      <c r="M65" s="10"/>
    </row>
    <row r="66" spans="2:13" ht="33.75" customHeight="1" x14ac:dyDescent="0.3"/>
    <row r="67" spans="2:13" s="74" customFormat="1" ht="37.5" customHeight="1" x14ac:dyDescent="0.3">
      <c r="B67" s="455" t="s">
        <v>115</v>
      </c>
      <c r="C67" s="456"/>
      <c r="D67" s="457"/>
      <c r="E67" s="458" t="s">
        <v>108</v>
      </c>
      <c r="F67" s="459"/>
      <c r="G67" s="455" t="s">
        <v>109</v>
      </c>
      <c r="H67" s="457"/>
      <c r="L67" s="10"/>
      <c r="M67" s="10"/>
    </row>
    <row r="68" spans="2:13" s="75" customFormat="1" ht="27" customHeight="1" thickBot="1" x14ac:dyDescent="0.35">
      <c r="B68" s="469" t="s">
        <v>95</v>
      </c>
      <c r="C68" s="470"/>
      <c r="D68" s="97" t="s">
        <v>96</v>
      </c>
      <c r="E68" s="98" t="s">
        <v>107</v>
      </c>
      <c r="F68" s="99" t="s">
        <v>60</v>
      </c>
      <c r="G68" s="228" t="s">
        <v>107</v>
      </c>
      <c r="H68" s="97" t="s">
        <v>60</v>
      </c>
      <c r="L68" s="76"/>
      <c r="M68" s="76"/>
    </row>
    <row r="69" spans="2:13" s="46" customFormat="1" ht="27.75" customHeight="1" thickTop="1" x14ac:dyDescent="0.3">
      <c r="B69" s="471" t="s">
        <v>97</v>
      </c>
      <c r="C69" s="92" t="s">
        <v>98</v>
      </c>
      <c r="D69" s="93">
        <v>0.5</v>
      </c>
      <c r="E69" s="94"/>
      <c r="F69" s="95" t="str">
        <f>IF(E69="","",E69*$D69)</f>
        <v/>
      </c>
      <c r="G69" s="96"/>
      <c r="H69" s="93" t="str">
        <f>IF(G69="","",G69*$D69)</f>
        <v/>
      </c>
      <c r="L69" s="11"/>
      <c r="M69" s="11"/>
    </row>
    <row r="70" spans="2:13" s="46" customFormat="1" ht="27.75" customHeight="1" x14ac:dyDescent="0.3">
      <c r="B70" s="472"/>
      <c r="C70" s="87" t="s">
        <v>99</v>
      </c>
      <c r="D70" s="88">
        <v>1</v>
      </c>
      <c r="E70" s="90"/>
      <c r="F70" s="91" t="str">
        <f t="shared" ref="F70:F76" si="8">IF(E70="","",E70*$D70)</f>
        <v/>
      </c>
      <c r="G70" s="89"/>
      <c r="H70" s="88" t="str">
        <f t="shared" ref="H70:H76" si="9">IF(G70="","",G70*$D70)</f>
        <v/>
      </c>
      <c r="L70" s="11"/>
      <c r="M70" s="11"/>
    </row>
    <row r="71" spans="2:13" s="46" customFormat="1" ht="27.75" customHeight="1" thickBot="1" x14ac:dyDescent="0.35">
      <c r="B71" s="473"/>
      <c r="C71" s="101" t="s">
        <v>100</v>
      </c>
      <c r="D71" s="102">
        <v>1.5</v>
      </c>
      <c r="E71" s="103"/>
      <c r="F71" s="104" t="str">
        <f t="shared" si="8"/>
        <v/>
      </c>
      <c r="G71" s="105"/>
      <c r="H71" s="102" t="str">
        <f t="shared" si="9"/>
        <v/>
      </c>
      <c r="L71" s="11"/>
      <c r="M71" s="11"/>
    </row>
    <row r="72" spans="2:13" s="46" customFormat="1" ht="27.75" customHeight="1" thickTop="1" x14ac:dyDescent="0.3">
      <c r="B72" s="474" t="s">
        <v>101</v>
      </c>
      <c r="C72" s="106" t="s">
        <v>102</v>
      </c>
      <c r="D72" s="107">
        <v>1.5</v>
      </c>
      <c r="E72" s="108"/>
      <c r="F72" s="109" t="str">
        <f t="shared" si="8"/>
        <v/>
      </c>
      <c r="G72" s="110"/>
      <c r="H72" s="107" t="str">
        <f t="shared" si="9"/>
        <v/>
      </c>
      <c r="L72" s="11"/>
      <c r="M72" s="11"/>
    </row>
    <row r="73" spans="2:13" s="46" customFormat="1" ht="27.75" customHeight="1" x14ac:dyDescent="0.3">
      <c r="B73" s="472"/>
      <c r="C73" s="87" t="s">
        <v>103</v>
      </c>
      <c r="D73" s="88">
        <v>2</v>
      </c>
      <c r="E73" s="90"/>
      <c r="F73" s="91" t="str">
        <f t="shared" si="8"/>
        <v/>
      </c>
      <c r="G73" s="89"/>
      <c r="H73" s="88" t="str">
        <f t="shared" si="9"/>
        <v/>
      </c>
      <c r="L73" s="11"/>
      <c r="M73" s="11"/>
    </row>
    <row r="74" spans="2:13" s="46" customFormat="1" ht="27.75" customHeight="1" x14ac:dyDescent="0.3">
      <c r="B74" s="472"/>
      <c r="C74" s="87" t="s">
        <v>104</v>
      </c>
      <c r="D74" s="88">
        <v>2</v>
      </c>
      <c r="E74" s="90"/>
      <c r="F74" s="91" t="str">
        <f t="shared" si="8"/>
        <v/>
      </c>
      <c r="G74" s="89"/>
      <c r="H74" s="88" t="str">
        <f t="shared" si="9"/>
        <v/>
      </c>
      <c r="L74" s="11"/>
      <c r="M74" s="11"/>
    </row>
    <row r="75" spans="2:13" s="46" customFormat="1" ht="27.75" customHeight="1" x14ac:dyDescent="0.3">
      <c r="B75" s="472"/>
      <c r="C75" s="87" t="s">
        <v>105</v>
      </c>
      <c r="D75" s="88">
        <v>3</v>
      </c>
      <c r="E75" s="90"/>
      <c r="F75" s="91" t="str">
        <f t="shared" si="8"/>
        <v/>
      </c>
      <c r="G75" s="89"/>
      <c r="H75" s="88" t="str">
        <f t="shared" si="9"/>
        <v/>
      </c>
      <c r="L75" s="11"/>
      <c r="M75" s="11"/>
    </row>
    <row r="76" spans="2:13" s="46" customFormat="1" ht="27.75" customHeight="1" thickBot="1" x14ac:dyDescent="0.35">
      <c r="B76" s="475"/>
      <c r="C76" s="111" t="s">
        <v>106</v>
      </c>
      <c r="D76" s="112">
        <v>4</v>
      </c>
      <c r="E76" s="113"/>
      <c r="F76" s="114" t="str">
        <f t="shared" si="8"/>
        <v/>
      </c>
      <c r="G76" s="115"/>
      <c r="H76" s="112" t="str">
        <f t="shared" si="9"/>
        <v/>
      </c>
      <c r="L76" s="11"/>
      <c r="M76" s="11"/>
    </row>
    <row r="77" spans="2:13" s="46" customFormat="1" ht="27.75" customHeight="1" thickTop="1" thickBot="1" x14ac:dyDescent="0.35">
      <c r="B77" s="460" t="s">
        <v>169</v>
      </c>
      <c r="C77" s="460"/>
      <c r="D77" s="461"/>
      <c r="E77" s="462"/>
      <c r="F77" s="463"/>
      <c r="G77" s="462"/>
      <c r="H77" s="476"/>
      <c r="L77" s="11"/>
      <c r="M77" s="11"/>
    </row>
    <row r="78" spans="2:13" s="74" customFormat="1" ht="37.5" customHeight="1" thickTop="1" x14ac:dyDescent="0.3">
      <c r="B78" s="466" t="s">
        <v>170</v>
      </c>
      <c r="C78" s="467"/>
      <c r="D78" s="468"/>
      <c r="E78" s="477" t="str">
        <f>IF(SUM(E69:E76,E77)=0,"",SUM(F69:F76)/E77)</f>
        <v/>
      </c>
      <c r="F78" s="478"/>
      <c r="G78" s="477" t="str">
        <f>IF(SUM(G69:G76,G77)=0,"",SUM(H69:H76)/G77)</f>
        <v/>
      </c>
      <c r="H78" s="479"/>
      <c r="L78" s="10"/>
      <c r="M78" s="10"/>
    </row>
    <row r="79" spans="2:13" ht="33.75" customHeight="1" x14ac:dyDescent="0.3"/>
    <row r="80" spans="2:13" s="74" customFormat="1" ht="37.5" customHeight="1" x14ac:dyDescent="0.3">
      <c r="B80" s="455" t="s">
        <v>117</v>
      </c>
      <c r="C80" s="456"/>
      <c r="D80" s="457"/>
      <c r="E80" s="458" t="s">
        <v>108</v>
      </c>
      <c r="F80" s="459"/>
      <c r="G80" s="455" t="s">
        <v>109</v>
      </c>
      <c r="H80" s="457"/>
      <c r="L80" s="10"/>
      <c r="M80" s="10"/>
    </row>
    <row r="81" spans="2:13" s="75" customFormat="1" ht="27" customHeight="1" thickBot="1" x14ac:dyDescent="0.35">
      <c r="B81" s="469" t="s">
        <v>95</v>
      </c>
      <c r="C81" s="470"/>
      <c r="D81" s="97" t="s">
        <v>96</v>
      </c>
      <c r="E81" s="98" t="s">
        <v>107</v>
      </c>
      <c r="F81" s="99" t="s">
        <v>60</v>
      </c>
      <c r="G81" s="228" t="s">
        <v>107</v>
      </c>
      <c r="H81" s="97" t="s">
        <v>60</v>
      </c>
      <c r="L81" s="76"/>
      <c r="M81" s="76"/>
    </row>
    <row r="82" spans="2:13" s="46" customFormat="1" ht="27.75" customHeight="1" thickTop="1" x14ac:dyDescent="0.3">
      <c r="B82" s="471" t="s">
        <v>97</v>
      </c>
      <c r="C82" s="92" t="s">
        <v>98</v>
      </c>
      <c r="D82" s="93">
        <v>0.5</v>
      </c>
      <c r="E82" s="94"/>
      <c r="F82" s="95" t="str">
        <f>IF(E82="","",E82*$D82)</f>
        <v/>
      </c>
      <c r="G82" s="96"/>
      <c r="H82" s="93" t="str">
        <f>IF(G82="","",G82*$D82)</f>
        <v/>
      </c>
      <c r="L82" s="11"/>
      <c r="M82" s="11"/>
    </row>
    <row r="83" spans="2:13" s="46" customFormat="1" ht="27.75" customHeight="1" x14ac:dyDescent="0.3">
      <c r="B83" s="472"/>
      <c r="C83" s="87" t="s">
        <v>99</v>
      </c>
      <c r="D83" s="88">
        <v>1</v>
      </c>
      <c r="E83" s="90"/>
      <c r="F83" s="91" t="str">
        <f t="shared" ref="F83:F89" si="10">IF(E83="","",E83*$D83)</f>
        <v/>
      </c>
      <c r="G83" s="89"/>
      <c r="H83" s="88" t="str">
        <f t="shared" ref="H83:H89" si="11">IF(G83="","",G83*$D83)</f>
        <v/>
      </c>
      <c r="L83" s="11"/>
      <c r="M83" s="11"/>
    </row>
    <row r="84" spans="2:13" s="46" customFormat="1" ht="27.75" customHeight="1" thickBot="1" x14ac:dyDescent="0.35">
      <c r="B84" s="473"/>
      <c r="C84" s="101" t="s">
        <v>100</v>
      </c>
      <c r="D84" s="102">
        <v>1.5</v>
      </c>
      <c r="E84" s="103"/>
      <c r="F84" s="104" t="str">
        <f t="shared" si="10"/>
        <v/>
      </c>
      <c r="G84" s="105"/>
      <c r="H84" s="102" t="str">
        <f t="shared" si="11"/>
        <v/>
      </c>
      <c r="L84" s="11"/>
      <c r="M84" s="11"/>
    </row>
    <row r="85" spans="2:13" s="46" customFormat="1" ht="27.75" customHeight="1" thickTop="1" x14ac:dyDescent="0.3">
      <c r="B85" s="474" t="s">
        <v>101</v>
      </c>
      <c r="C85" s="106" t="s">
        <v>102</v>
      </c>
      <c r="D85" s="107">
        <v>1.5</v>
      </c>
      <c r="E85" s="108"/>
      <c r="F85" s="109" t="str">
        <f t="shared" si="10"/>
        <v/>
      </c>
      <c r="G85" s="110"/>
      <c r="H85" s="107" t="str">
        <f t="shared" si="11"/>
        <v/>
      </c>
      <c r="L85" s="11"/>
      <c r="M85" s="11"/>
    </row>
    <row r="86" spans="2:13" s="46" customFormat="1" ht="27.75" customHeight="1" x14ac:dyDescent="0.3">
      <c r="B86" s="472"/>
      <c r="C86" s="87" t="s">
        <v>103</v>
      </c>
      <c r="D86" s="88">
        <v>2</v>
      </c>
      <c r="E86" s="90"/>
      <c r="F86" s="91" t="str">
        <f t="shared" si="10"/>
        <v/>
      </c>
      <c r="G86" s="89"/>
      <c r="H86" s="88" t="str">
        <f t="shared" si="11"/>
        <v/>
      </c>
      <c r="L86" s="11"/>
      <c r="M86" s="11"/>
    </row>
    <row r="87" spans="2:13" s="46" customFormat="1" ht="27.75" customHeight="1" x14ac:dyDescent="0.3">
      <c r="B87" s="472"/>
      <c r="C87" s="87" t="s">
        <v>104</v>
      </c>
      <c r="D87" s="88">
        <v>2</v>
      </c>
      <c r="E87" s="90"/>
      <c r="F87" s="91" t="str">
        <f t="shared" si="10"/>
        <v/>
      </c>
      <c r="G87" s="89"/>
      <c r="H87" s="88" t="str">
        <f t="shared" si="11"/>
        <v/>
      </c>
      <c r="L87" s="11"/>
      <c r="M87" s="11"/>
    </row>
    <row r="88" spans="2:13" s="46" customFormat="1" ht="27.75" customHeight="1" x14ac:dyDescent="0.3">
      <c r="B88" s="472"/>
      <c r="C88" s="87" t="s">
        <v>105</v>
      </c>
      <c r="D88" s="88">
        <v>3</v>
      </c>
      <c r="E88" s="90"/>
      <c r="F88" s="91" t="str">
        <f t="shared" si="10"/>
        <v/>
      </c>
      <c r="G88" s="89"/>
      <c r="H88" s="88" t="str">
        <f t="shared" si="11"/>
        <v/>
      </c>
      <c r="L88" s="11"/>
      <c r="M88" s="11"/>
    </row>
    <row r="89" spans="2:13" s="46" customFormat="1" ht="27.75" customHeight="1" thickBot="1" x14ac:dyDescent="0.35">
      <c r="B89" s="475"/>
      <c r="C89" s="111" t="s">
        <v>106</v>
      </c>
      <c r="D89" s="112">
        <v>4</v>
      </c>
      <c r="E89" s="113"/>
      <c r="F89" s="114" t="str">
        <f t="shared" si="10"/>
        <v/>
      </c>
      <c r="G89" s="115"/>
      <c r="H89" s="112" t="str">
        <f t="shared" si="11"/>
        <v/>
      </c>
      <c r="L89" s="11"/>
      <c r="M89" s="11"/>
    </row>
    <row r="90" spans="2:13" s="46" customFormat="1" ht="27.75" customHeight="1" thickTop="1" thickBot="1" x14ac:dyDescent="0.35">
      <c r="B90" s="460" t="s">
        <v>169</v>
      </c>
      <c r="C90" s="460"/>
      <c r="D90" s="461"/>
      <c r="E90" s="462"/>
      <c r="F90" s="463"/>
      <c r="G90" s="462"/>
      <c r="H90" s="476"/>
      <c r="L90" s="11"/>
      <c r="M90" s="11"/>
    </row>
    <row r="91" spans="2:13" s="74" customFormat="1" ht="37.5" customHeight="1" thickTop="1" x14ac:dyDescent="0.3">
      <c r="B91" s="466" t="s">
        <v>170</v>
      </c>
      <c r="C91" s="467"/>
      <c r="D91" s="468"/>
      <c r="E91" s="477" t="str">
        <f>IF(SUM(E82:E89,E90)=0,"",SUM(F82:F89)/E90)</f>
        <v/>
      </c>
      <c r="F91" s="478"/>
      <c r="G91" s="477" t="str">
        <f>IF(SUM(G82:G89,G90)=0,"",SUM(H82:H89)/G90)</f>
        <v/>
      </c>
      <c r="H91" s="479"/>
      <c r="L91" s="10"/>
      <c r="M91" s="10"/>
    </row>
    <row r="92" spans="2:13" ht="34.5" customHeight="1" x14ac:dyDescent="0.3"/>
    <row r="93" spans="2:13" s="74" customFormat="1" ht="37.5" customHeight="1" x14ac:dyDescent="0.3">
      <c r="B93" s="455" t="s">
        <v>116</v>
      </c>
      <c r="C93" s="456"/>
      <c r="D93" s="457"/>
      <c r="E93" s="458" t="s">
        <v>108</v>
      </c>
      <c r="F93" s="459"/>
      <c r="G93" s="455" t="s">
        <v>109</v>
      </c>
      <c r="H93" s="457"/>
      <c r="L93" s="10"/>
      <c r="M93" s="10"/>
    </row>
    <row r="94" spans="2:13" s="75" customFormat="1" ht="27" customHeight="1" thickBot="1" x14ac:dyDescent="0.35">
      <c r="B94" s="469" t="s">
        <v>95</v>
      </c>
      <c r="C94" s="470"/>
      <c r="D94" s="97" t="s">
        <v>96</v>
      </c>
      <c r="E94" s="98" t="s">
        <v>107</v>
      </c>
      <c r="F94" s="99" t="s">
        <v>60</v>
      </c>
      <c r="G94" s="228" t="s">
        <v>107</v>
      </c>
      <c r="H94" s="97" t="s">
        <v>60</v>
      </c>
      <c r="L94" s="76"/>
      <c r="M94" s="76"/>
    </row>
    <row r="95" spans="2:13" s="46" customFormat="1" ht="27.75" customHeight="1" thickTop="1" x14ac:dyDescent="0.3">
      <c r="B95" s="471" t="s">
        <v>97</v>
      </c>
      <c r="C95" s="92" t="s">
        <v>98</v>
      </c>
      <c r="D95" s="93">
        <v>0.5</v>
      </c>
      <c r="E95" s="94"/>
      <c r="F95" s="95" t="str">
        <f>IF(E95="","",E95*$D95)</f>
        <v/>
      </c>
      <c r="G95" s="96"/>
      <c r="H95" s="93" t="str">
        <f>IF(G95="","",G95*$D95)</f>
        <v/>
      </c>
      <c r="L95" s="11"/>
      <c r="M95" s="11"/>
    </row>
    <row r="96" spans="2:13" s="46" customFormat="1" ht="27.75" customHeight="1" x14ac:dyDescent="0.3">
      <c r="B96" s="472"/>
      <c r="C96" s="87" t="s">
        <v>99</v>
      </c>
      <c r="D96" s="88">
        <v>1</v>
      </c>
      <c r="E96" s="90"/>
      <c r="F96" s="91" t="str">
        <f t="shared" ref="F96:F102" si="12">IF(E96="","",E96*$D96)</f>
        <v/>
      </c>
      <c r="G96" s="89"/>
      <c r="H96" s="88" t="str">
        <f t="shared" ref="H96:H102" si="13">IF(G96="","",G96*$D96)</f>
        <v/>
      </c>
      <c r="L96" s="11"/>
      <c r="M96" s="11"/>
    </row>
    <row r="97" spans="2:13" s="46" customFormat="1" ht="27.75" customHeight="1" thickBot="1" x14ac:dyDescent="0.35">
      <c r="B97" s="473"/>
      <c r="C97" s="101" t="s">
        <v>100</v>
      </c>
      <c r="D97" s="102">
        <v>1.5</v>
      </c>
      <c r="E97" s="103"/>
      <c r="F97" s="104" t="str">
        <f t="shared" si="12"/>
        <v/>
      </c>
      <c r="G97" s="105"/>
      <c r="H97" s="102" t="str">
        <f t="shared" si="13"/>
        <v/>
      </c>
      <c r="L97" s="11"/>
      <c r="M97" s="11"/>
    </row>
    <row r="98" spans="2:13" s="46" customFormat="1" ht="27.75" customHeight="1" thickTop="1" x14ac:dyDescent="0.3">
      <c r="B98" s="474" t="s">
        <v>101</v>
      </c>
      <c r="C98" s="106" t="s">
        <v>102</v>
      </c>
      <c r="D98" s="107">
        <v>1.5</v>
      </c>
      <c r="E98" s="108"/>
      <c r="F98" s="109" t="str">
        <f t="shared" si="12"/>
        <v/>
      </c>
      <c r="G98" s="110"/>
      <c r="H98" s="107" t="str">
        <f t="shared" si="13"/>
        <v/>
      </c>
      <c r="L98" s="11"/>
      <c r="M98" s="11"/>
    </row>
    <row r="99" spans="2:13" s="46" customFormat="1" ht="27.75" customHeight="1" x14ac:dyDescent="0.3">
      <c r="B99" s="472"/>
      <c r="C99" s="87" t="s">
        <v>103</v>
      </c>
      <c r="D99" s="88">
        <v>2</v>
      </c>
      <c r="E99" s="90"/>
      <c r="F99" s="91" t="str">
        <f t="shared" si="12"/>
        <v/>
      </c>
      <c r="G99" s="89"/>
      <c r="H99" s="88" t="str">
        <f t="shared" si="13"/>
        <v/>
      </c>
      <c r="L99" s="11"/>
      <c r="M99" s="11"/>
    </row>
    <row r="100" spans="2:13" s="46" customFormat="1" ht="27.75" customHeight="1" x14ac:dyDescent="0.3">
      <c r="B100" s="472"/>
      <c r="C100" s="87" t="s">
        <v>104</v>
      </c>
      <c r="D100" s="88">
        <v>2</v>
      </c>
      <c r="E100" s="90"/>
      <c r="F100" s="91" t="str">
        <f t="shared" si="12"/>
        <v/>
      </c>
      <c r="G100" s="89"/>
      <c r="H100" s="88" t="str">
        <f t="shared" si="13"/>
        <v/>
      </c>
      <c r="L100" s="11"/>
      <c r="M100" s="11"/>
    </row>
    <row r="101" spans="2:13" s="46" customFormat="1" ht="27.75" customHeight="1" x14ac:dyDescent="0.3">
      <c r="B101" s="472"/>
      <c r="C101" s="87" t="s">
        <v>105</v>
      </c>
      <c r="D101" s="88">
        <v>3</v>
      </c>
      <c r="E101" s="90"/>
      <c r="F101" s="91" t="str">
        <f t="shared" si="12"/>
        <v/>
      </c>
      <c r="G101" s="89"/>
      <c r="H101" s="88" t="str">
        <f t="shared" si="13"/>
        <v/>
      </c>
      <c r="L101" s="11"/>
      <c r="M101" s="11"/>
    </row>
    <row r="102" spans="2:13" s="46" customFormat="1" ht="27.75" customHeight="1" thickBot="1" x14ac:dyDescent="0.35">
      <c r="B102" s="475"/>
      <c r="C102" s="111" t="s">
        <v>106</v>
      </c>
      <c r="D102" s="112">
        <v>4</v>
      </c>
      <c r="E102" s="113"/>
      <c r="F102" s="114" t="str">
        <f t="shared" si="12"/>
        <v/>
      </c>
      <c r="G102" s="115"/>
      <c r="H102" s="112" t="str">
        <f t="shared" si="13"/>
        <v/>
      </c>
      <c r="L102" s="11"/>
      <c r="M102" s="11"/>
    </row>
    <row r="103" spans="2:13" s="46" customFormat="1" ht="27.75" customHeight="1" thickTop="1" thickBot="1" x14ac:dyDescent="0.35">
      <c r="B103" s="460" t="s">
        <v>169</v>
      </c>
      <c r="C103" s="460"/>
      <c r="D103" s="461"/>
      <c r="E103" s="462"/>
      <c r="F103" s="463"/>
      <c r="G103" s="462"/>
      <c r="H103" s="476"/>
      <c r="L103" s="11"/>
      <c r="M103" s="11"/>
    </row>
    <row r="104" spans="2:13" s="74" customFormat="1" ht="37.5" customHeight="1" thickTop="1" x14ac:dyDescent="0.3">
      <c r="B104" s="466" t="s">
        <v>170</v>
      </c>
      <c r="C104" s="467"/>
      <c r="D104" s="468"/>
      <c r="E104" s="477" t="str">
        <f>IF(SUM(E95:E102,E103)=0,"",SUM(F95:F102)/E103)</f>
        <v/>
      </c>
      <c r="F104" s="478"/>
      <c r="G104" s="477" t="str">
        <f>IF(SUM(G95:G102,G103)=0,"",SUM(H95:H102)/G103)</f>
        <v/>
      </c>
      <c r="H104" s="479"/>
      <c r="L104" s="10"/>
      <c r="M104" s="10"/>
    </row>
    <row r="105" spans="2:13" ht="32.25" customHeight="1" x14ac:dyDescent="0.3"/>
    <row r="106" spans="2:13" s="74" customFormat="1" ht="37.5" customHeight="1" x14ac:dyDescent="0.3">
      <c r="B106" s="455" t="s">
        <v>118</v>
      </c>
      <c r="C106" s="456"/>
      <c r="D106" s="457"/>
      <c r="E106" s="458" t="s">
        <v>108</v>
      </c>
      <c r="F106" s="459"/>
      <c r="G106" s="455" t="s">
        <v>109</v>
      </c>
      <c r="H106" s="457"/>
      <c r="L106" s="10"/>
      <c r="M106" s="10"/>
    </row>
    <row r="107" spans="2:13" s="75" customFormat="1" ht="27" customHeight="1" thickBot="1" x14ac:dyDescent="0.35">
      <c r="B107" s="469" t="s">
        <v>95</v>
      </c>
      <c r="C107" s="470"/>
      <c r="D107" s="97" t="s">
        <v>96</v>
      </c>
      <c r="E107" s="98" t="s">
        <v>107</v>
      </c>
      <c r="F107" s="99" t="s">
        <v>60</v>
      </c>
      <c r="G107" s="228" t="s">
        <v>107</v>
      </c>
      <c r="H107" s="97" t="s">
        <v>60</v>
      </c>
      <c r="L107" s="76"/>
      <c r="M107" s="76"/>
    </row>
    <row r="108" spans="2:13" s="46" customFormat="1" ht="27.75" customHeight="1" thickTop="1" x14ac:dyDescent="0.3">
      <c r="B108" s="471" t="s">
        <v>97</v>
      </c>
      <c r="C108" s="92" t="s">
        <v>98</v>
      </c>
      <c r="D108" s="93">
        <v>0.5</v>
      </c>
      <c r="E108" s="94"/>
      <c r="F108" s="95" t="str">
        <f>IF(E108="","",E108*$D108)</f>
        <v/>
      </c>
      <c r="G108" s="96"/>
      <c r="H108" s="93" t="str">
        <f>IF(G108="","",G108*$D108)</f>
        <v/>
      </c>
      <c r="L108" s="11"/>
      <c r="M108" s="11"/>
    </row>
    <row r="109" spans="2:13" s="46" customFormat="1" ht="27.75" customHeight="1" x14ac:dyDescent="0.3">
      <c r="B109" s="472"/>
      <c r="C109" s="87" t="s">
        <v>99</v>
      </c>
      <c r="D109" s="88">
        <v>1</v>
      </c>
      <c r="E109" s="90"/>
      <c r="F109" s="91" t="str">
        <f t="shared" ref="F109:F115" si="14">IF(E109="","",E109*$D109)</f>
        <v/>
      </c>
      <c r="G109" s="89"/>
      <c r="H109" s="88" t="str">
        <f t="shared" ref="H109:H115" si="15">IF(G109="","",G109*$D109)</f>
        <v/>
      </c>
      <c r="L109" s="11"/>
      <c r="M109" s="11"/>
    </row>
    <row r="110" spans="2:13" s="46" customFormat="1" ht="27.75" customHeight="1" thickBot="1" x14ac:dyDescent="0.35">
      <c r="B110" s="473"/>
      <c r="C110" s="101" t="s">
        <v>100</v>
      </c>
      <c r="D110" s="102">
        <v>1.5</v>
      </c>
      <c r="E110" s="103"/>
      <c r="F110" s="104" t="str">
        <f t="shared" si="14"/>
        <v/>
      </c>
      <c r="G110" s="105"/>
      <c r="H110" s="102" t="str">
        <f t="shared" si="15"/>
        <v/>
      </c>
      <c r="L110" s="11"/>
      <c r="M110" s="11"/>
    </row>
    <row r="111" spans="2:13" s="46" customFormat="1" ht="27.75" customHeight="1" thickTop="1" x14ac:dyDescent="0.3">
      <c r="B111" s="474" t="s">
        <v>101</v>
      </c>
      <c r="C111" s="106" t="s">
        <v>102</v>
      </c>
      <c r="D111" s="107">
        <v>1.5</v>
      </c>
      <c r="E111" s="108"/>
      <c r="F111" s="109" t="str">
        <f t="shared" si="14"/>
        <v/>
      </c>
      <c r="G111" s="110"/>
      <c r="H111" s="107" t="str">
        <f t="shared" si="15"/>
        <v/>
      </c>
      <c r="L111" s="11"/>
      <c r="M111" s="11"/>
    </row>
    <row r="112" spans="2:13" s="46" customFormat="1" ht="27.75" customHeight="1" x14ac:dyDescent="0.3">
      <c r="B112" s="472"/>
      <c r="C112" s="87" t="s">
        <v>103</v>
      </c>
      <c r="D112" s="88">
        <v>2</v>
      </c>
      <c r="E112" s="90"/>
      <c r="F112" s="91" t="str">
        <f t="shared" si="14"/>
        <v/>
      </c>
      <c r="G112" s="89"/>
      <c r="H112" s="88" t="str">
        <f t="shared" si="15"/>
        <v/>
      </c>
      <c r="L112" s="11"/>
      <c r="M112" s="11"/>
    </row>
    <row r="113" spans="2:13" s="46" customFormat="1" ht="27.75" customHeight="1" x14ac:dyDescent="0.3">
      <c r="B113" s="472"/>
      <c r="C113" s="87" t="s">
        <v>104</v>
      </c>
      <c r="D113" s="88">
        <v>2</v>
      </c>
      <c r="E113" s="90"/>
      <c r="F113" s="91" t="str">
        <f t="shared" si="14"/>
        <v/>
      </c>
      <c r="G113" s="89"/>
      <c r="H113" s="88" t="str">
        <f t="shared" si="15"/>
        <v/>
      </c>
      <c r="L113" s="11"/>
      <c r="M113" s="11"/>
    </row>
    <row r="114" spans="2:13" s="46" customFormat="1" ht="27.75" customHeight="1" x14ac:dyDescent="0.3">
      <c r="B114" s="472"/>
      <c r="C114" s="87" t="s">
        <v>105</v>
      </c>
      <c r="D114" s="88">
        <v>3</v>
      </c>
      <c r="E114" s="90"/>
      <c r="F114" s="91" t="str">
        <f t="shared" si="14"/>
        <v/>
      </c>
      <c r="G114" s="89"/>
      <c r="H114" s="88" t="str">
        <f t="shared" si="15"/>
        <v/>
      </c>
      <c r="L114" s="11"/>
      <c r="M114" s="11"/>
    </row>
    <row r="115" spans="2:13" s="46" customFormat="1" ht="27.75" customHeight="1" thickBot="1" x14ac:dyDescent="0.35">
      <c r="B115" s="475"/>
      <c r="C115" s="111" t="s">
        <v>106</v>
      </c>
      <c r="D115" s="112">
        <v>4</v>
      </c>
      <c r="E115" s="113"/>
      <c r="F115" s="114" t="str">
        <f t="shared" si="14"/>
        <v/>
      </c>
      <c r="G115" s="115"/>
      <c r="H115" s="112" t="str">
        <f t="shared" si="15"/>
        <v/>
      </c>
      <c r="L115" s="11"/>
      <c r="M115" s="11"/>
    </row>
    <row r="116" spans="2:13" s="46" customFormat="1" ht="27.75" customHeight="1" thickTop="1" thickBot="1" x14ac:dyDescent="0.35">
      <c r="B116" s="460" t="s">
        <v>169</v>
      </c>
      <c r="C116" s="460"/>
      <c r="D116" s="461"/>
      <c r="E116" s="462"/>
      <c r="F116" s="463"/>
      <c r="G116" s="462"/>
      <c r="H116" s="476"/>
      <c r="L116" s="11"/>
      <c r="M116" s="11"/>
    </row>
    <row r="117" spans="2:13" s="74" customFormat="1" ht="37.5" customHeight="1" thickTop="1" x14ac:dyDescent="0.3">
      <c r="B117" s="466" t="s">
        <v>170</v>
      </c>
      <c r="C117" s="467"/>
      <c r="D117" s="468"/>
      <c r="E117" s="477" t="str">
        <f>IF(SUM(E108:E115,E116)=0,"",SUM(F108:F115)/E116)</f>
        <v/>
      </c>
      <c r="F117" s="478"/>
      <c r="G117" s="477" t="str">
        <f>IF(SUM(G108:G115,G116)=0,"",SUM(H108:H115)/G116)</f>
        <v/>
      </c>
      <c r="H117" s="479"/>
      <c r="L117" s="10"/>
      <c r="M117" s="10"/>
    </row>
    <row r="118" spans="2:13" ht="33.75" customHeight="1" x14ac:dyDescent="0.3"/>
    <row r="119" spans="2:13" s="74" customFormat="1" ht="37.5" customHeight="1" x14ac:dyDescent="0.3">
      <c r="B119" s="455" t="s">
        <v>119</v>
      </c>
      <c r="C119" s="456"/>
      <c r="D119" s="457"/>
      <c r="E119" s="458" t="s">
        <v>108</v>
      </c>
      <c r="F119" s="459"/>
      <c r="G119" s="455" t="s">
        <v>109</v>
      </c>
      <c r="H119" s="457"/>
      <c r="L119" s="10"/>
      <c r="M119" s="10"/>
    </row>
    <row r="120" spans="2:13" s="75" customFormat="1" ht="27" customHeight="1" thickBot="1" x14ac:dyDescent="0.35">
      <c r="B120" s="469" t="s">
        <v>95</v>
      </c>
      <c r="C120" s="470"/>
      <c r="D120" s="97" t="s">
        <v>96</v>
      </c>
      <c r="E120" s="98" t="s">
        <v>107</v>
      </c>
      <c r="F120" s="99" t="s">
        <v>60</v>
      </c>
      <c r="G120" s="228" t="s">
        <v>107</v>
      </c>
      <c r="H120" s="97" t="s">
        <v>60</v>
      </c>
      <c r="L120" s="76"/>
      <c r="M120" s="76"/>
    </row>
    <row r="121" spans="2:13" s="46" customFormat="1" ht="27.75" customHeight="1" thickTop="1" x14ac:dyDescent="0.3">
      <c r="B121" s="471" t="s">
        <v>97</v>
      </c>
      <c r="C121" s="92" t="s">
        <v>98</v>
      </c>
      <c r="D121" s="93">
        <v>0.5</v>
      </c>
      <c r="E121" s="94"/>
      <c r="F121" s="95" t="str">
        <f>IF(E121="","",E121*$D121)</f>
        <v/>
      </c>
      <c r="G121" s="96"/>
      <c r="H121" s="93" t="str">
        <f>IF(G121="","",G121*$D121)</f>
        <v/>
      </c>
      <c r="L121" s="11"/>
      <c r="M121" s="11"/>
    </row>
    <row r="122" spans="2:13" s="46" customFormat="1" ht="27.75" customHeight="1" x14ac:dyDescent="0.3">
      <c r="B122" s="472"/>
      <c r="C122" s="87" t="s">
        <v>99</v>
      </c>
      <c r="D122" s="88">
        <v>1</v>
      </c>
      <c r="E122" s="90"/>
      <c r="F122" s="91" t="str">
        <f t="shared" ref="F122:F128" si="16">IF(E122="","",E122*$D122)</f>
        <v/>
      </c>
      <c r="G122" s="89"/>
      <c r="H122" s="88" t="str">
        <f t="shared" ref="H122:H128" si="17">IF(G122="","",G122*$D122)</f>
        <v/>
      </c>
      <c r="L122" s="11"/>
      <c r="M122" s="11"/>
    </row>
    <row r="123" spans="2:13" s="46" customFormat="1" ht="27.75" customHeight="1" thickBot="1" x14ac:dyDescent="0.35">
      <c r="B123" s="473"/>
      <c r="C123" s="101" t="s">
        <v>100</v>
      </c>
      <c r="D123" s="102">
        <v>1.5</v>
      </c>
      <c r="E123" s="103"/>
      <c r="F123" s="104" t="str">
        <f t="shared" si="16"/>
        <v/>
      </c>
      <c r="G123" s="105"/>
      <c r="H123" s="102" t="str">
        <f t="shared" si="17"/>
        <v/>
      </c>
      <c r="L123" s="11"/>
      <c r="M123" s="11"/>
    </row>
    <row r="124" spans="2:13" s="46" customFormat="1" ht="27.75" customHeight="1" thickTop="1" x14ac:dyDescent="0.3">
      <c r="B124" s="474" t="s">
        <v>101</v>
      </c>
      <c r="C124" s="106" t="s">
        <v>102</v>
      </c>
      <c r="D124" s="107">
        <v>1.5</v>
      </c>
      <c r="E124" s="108"/>
      <c r="F124" s="109" t="str">
        <f t="shared" si="16"/>
        <v/>
      </c>
      <c r="G124" s="110"/>
      <c r="H124" s="107" t="str">
        <f t="shared" si="17"/>
        <v/>
      </c>
      <c r="L124" s="11"/>
      <c r="M124" s="11"/>
    </row>
    <row r="125" spans="2:13" s="46" customFormat="1" ht="27.75" customHeight="1" x14ac:dyDescent="0.3">
      <c r="B125" s="472"/>
      <c r="C125" s="87" t="s">
        <v>103</v>
      </c>
      <c r="D125" s="88">
        <v>2</v>
      </c>
      <c r="E125" s="90"/>
      <c r="F125" s="91" t="str">
        <f t="shared" si="16"/>
        <v/>
      </c>
      <c r="G125" s="89"/>
      <c r="H125" s="88" t="str">
        <f t="shared" si="17"/>
        <v/>
      </c>
      <c r="L125" s="11"/>
      <c r="M125" s="11"/>
    </row>
    <row r="126" spans="2:13" s="46" customFormat="1" ht="27.75" customHeight="1" x14ac:dyDescent="0.3">
      <c r="B126" s="472"/>
      <c r="C126" s="87" t="s">
        <v>104</v>
      </c>
      <c r="D126" s="88">
        <v>2</v>
      </c>
      <c r="E126" s="90"/>
      <c r="F126" s="91" t="str">
        <f t="shared" si="16"/>
        <v/>
      </c>
      <c r="G126" s="89"/>
      <c r="H126" s="88" t="str">
        <f t="shared" si="17"/>
        <v/>
      </c>
      <c r="L126" s="11"/>
      <c r="M126" s="11"/>
    </row>
    <row r="127" spans="2:13" s="46" customFormat="1" ht="27.75" customHeight="1" x14ac:dyDescent="0.3">
      <c r="B127" s="472"/>
      <c r="C127" s="87" t="s">
        <v>105</v>
      </c>
      <c r="D127" s="88">
        <v>3</v>
      </c>
      <c r="E127" s="90"/>
      <c r="F127" s="91" t="str">
        <f t="shared" si="16"/>
        <v/>
      </c>
      <c r="G127" s="89"/>
      <c r="H127" s="88" t="str">
        <f t="shared" si="17"/>
        <v/>
      </c>
      <c r="L127" s="11"/>
      <c r="M127" s="11"/>
    </row>
    <row r="128" spans="2:13" s="46" customFormat="1" ht="27.75" customHeight="1" thickBot="1" x14ac:dyDescent="0.35">
      <c r="B128" s="475"/>
      <c r="C128" s="111" t="s">
        <v>106</v>
      </c>
      <c r="D128" s="112">
        <v>4</v>
      </c>
      <c r="E128" s="113"/>
      <c r="F128" s="114" t="str">
        <f t="shared" si="16"/>
        <v/>
      </c>
      <c r="G128" s="115"/>
      <c r="H128" s="112" t="str">
        <f t="shared" si="17"/>
        <v/>
      </c>
      <c r="L128" s="11"/>
      <c r="M128" s="11"/>
    </row>
    <row r="129" spans="2:13" s="46" customFormat="1" ht="27.75" customHeight="1" thickTop="1" thickBot="1" x14ac:dyDescent="0.35">
      <c r="B129" s="460" t="s">
        <v>169</v>
      </c>
      <c r="C129" s="460"/>
      <c r="D129" s="461"/>
      <c r="E129" s="462"/>
      <c r="F129" s="463"/>
      <c r="G129" s="462"/>
      <c r="H129" s="476"/>
      <c r="L129" s="11"/>
      <c r="M129" s="11"/>
    </row>
    <row r="130" spans="2:13" s="74" customFormat="1" ht="37.5" customHeight="1" thickTop="1" x14ac:dyDescent="0.3">
      <c r="B130" s="466" t="s">
        <v>170</v>
      </c>
      <c r="C130" s="467"/>
      <c r="D130" s="468"/>
      <c r="E130" s="477" t="str">
        <f>IF(SUM(E121:E128,E129)=0,"",SUM(F121:F128)/E129)</f>
        <v/>
      </c>
      <c r="F130" s="478"/>
      <c r="G130" s="477" t="str">
        <f>IF(SUM(G121:G128,G129)=0,"",SUM(H121:H128)/G129)</f>
        <v/>
      </c>
      <c r="H130" s="479"/>
      <c r="L130" s="10"/>
      <c r="M130" s="10"/>
    </row>
    <row r="131" spans="2:13" ht="34.5" customHeight="1" x14ac:dyDescent="0.3"/>
    <row r="132" spans="2:13" s="74" customFormat="1" ht="37.5" customHeight="1" x14ac:dyDescent="0.3">
      <c r="B132" s="455" t="s">
        <v>120</v>
      </c>
      <c r="C132" s="456"/>
      <c r="D132" s="457"/>
      <c r="E132" s="458" t="s">
        <v>108</v>
      </c>
      <c r="F132" s="459"/>
      <c r="G132" s="455" t="s">
        <v>109</v>
      </c>
      <c r="H132" s="457"/>
      <c r="L132" s="10"/>
      <c r="M132" s="10"/>
    </row>
    <row r="133" spans="2:13" s="75" customFormat="1" ht="27" customHeight="1" thickBot="1" x14ac:dyDescent="0.35">
      <c r="B133" s="469" t="s">
        <v>95</v>
      </c>
      <c r="C133" s="470"/>
      <c r="D133" s="97" t="s">
        <v>96</v>
      </c>
      <c r="E133" s="98" t="s">
        <v>107</v>
      </c>
      <c r="F133" s="99" t="s">
        <v>60</v>
      </c>
      <c r="G133" s="228" t="s">
        <v>107</v>
      </c>
      <c r="H133" s="97" t="s">
        <v>60</v>
      </c>
      <c r="L133" s="76"/>
      <c r="M133" s="76"/>
    </row>
    <row r="134" spans="2:13" s="46" customFormat="1" ht="27.75" customHeight="1" thickTop="1" x14ac:dyDescent="0.3">
      <c r="B134" s="471" t="s">
        <v>97</v>
      </c>
      <c r="C134" s="92" t="s">
        <v>98</v>
      </c>
      <c r="D134" s="93">
        <v>0.5</v>
      </c>
      <c r="E134" s="94"/>
      <c r="F134" s="95" t="str">
        <f>IF(E134="","",E134*$D134)</f>
        <v/>
      </c>
      <c r="G134" s="96"/>
      <c r="H134" s="93" t="str">
        <f>IF(G134="","",G134*$D134)</f>
        <v/>
      </c>
      <c r="L134" s="11"/>
      <c r="M134" s="11"/>
    </row>
    <row r="135" spans="2:13" s="46" customFormat="1" ht="27.75" customHeight="1" x14ac:dyDescent="0.3">
      <c r="B135" s="472"/>
      <c r="C135" s="87" t="s">
        <v>99</v>
      </c>
      <c r="D135" s="88">
        <v>1</v>
      </c>
      <c r="E135" s="90"/>
      <c r="F135" s="91" t="str">
        <f t="shared" ref="F135:F141" si="18">IF(E135="","",E135*$D135)</f>
        <v/>
      </c>
      <c r="G135" s="89"/>
      <c r="H135" s="88" t="str">
        <f t="shared" ref="H135:H141" si="19">IF(G135="","",G135*$D135)</f>
        <v/>
      </c>
      <c r="L135" s="11"/>
      <c r="M135" s="11"/>
    </row>
    <row r="136" spans="2:13" s="46" customFormat="1" ht="27.75" customHeight="1" thickBot="1" x14ac:dyDescent="0.35">
      <c r="B136" s="473"/>
      <c r="C136" s="101" t="s">
        <v>100</v>
      </c>
      <c r="D136" s="102">
        <v>1.5</v>
      </c>
      <c r="E136" s="103"/>
      <c r="F136" s="104" t="str">
        <f t="shared" si="18"/>
        <v/>
      </c>
      <c r="G136" s="105"/>
      <c r="H136" s="102" t="str">
        <f t="shared" si="19"/>
        <v/>
      </c>
      <c r="L136" s="11"/>
      <c r="M136" s="11"/>
    </row>
    <row r="137" spans="2:13" s="46" customFormat="1" ht="27.75" customHeight="1" thickTop="1" x14ac:dyDescent="0.3">
      <c r="B137" s="474" t="s">
        <v>101</v>
      </c>
      <c r="C137" s="106" t="s">
        <v>102</v>
      </c>
      <c r="D137" s="107">
        <v>1.5</v>
      </c>
      <c r="E137" s="108"/>
      <c r="F137" s="109" t="str">
        <f t="shared" si="18"/>
        <v/>
      </c>
      <c r="G137" s="110"/>
      <c r="H137" s="107" t="str">
        <f t="shared" si="19"/>
        <v/>
      </c>
      <c r="L137" s="11"/>
      <c r="M137" s="11"/>
    </row>
    <row r="138" spans="2:13" s="46" customFormat="1" ht="27.75" customHeight="1" x14ac:dyDescent="0.3">
      <c r="B138" s="472"/>
      <c r="C138" s="87" t="s">
        <v>103</v>
      </c>
      <c r="D138" s="88">
        <v>2</v>
      </c>
      <c r="E138" s="90"/>
      <c r="F138" s="91" t="str">
        <f t="shared" si="18"/>
        <v/>
      </c>
      <c r="G138" s="89"/>
      <c r="H138" s="88" t="str">
        <f t="shared" si="19"/>
        <v/>
      </c>
      <c r="L138" s="11"/>
      <c r="M138" s="11"/>
    </row>
    <row r="139" spans="2:13" s="46" customFormat="1" ht="27.75" customHeight="1" x14ac:dyDescent="0.3">
      <c r="B139" s="472"/>
      <c r="C139" s="87" t="s">
        <v>104</v>
      </c>
      <c r="D139" s="88">
        <v>2</v>
      </c>
      <c r="E139" s="90"/>
      <c r="F139" s="91" t="str">
        <f t="shared" si="18"/>
        <v/>
      </c>
      <c r="G139" s="89"/>
      <c r="H139" s="88" t="str">
        <f t="shared" si="19"/>
        <v/>
      </c>
      <c r="L139" s="11"/>
      <c r="M139" s="11"/>
    </row>
    <row r="140" spans="2:13" s="46" customFormat="1" ht="27.75" customHeight="1" x14ac:dyDescent="0.3">
      <c r="B140" s="472"/>
      <c r="C140" s="87" t="s">
        <v>105</v>
      </c>
      <c r="D140" s="88">
        <v>3</v>
      </c>
      <c r="E140" s="90"/>
      <c r="F140" s="91" t="str">
        <f t="shared" si="18"/>
        <v/>
      </c>
      <c r="G140" s="89"/>
      <c r="H140" s="88" t="str">
        <f t="shared" si="19"/>
        <v/>
      </c>
      <c r="L140" s="11"/>
      <c r="M140" s="11"/>
    </row>
    <row r="141" spans="2:13" s="46" customFormat="1" ht="27.75" customHeight="1" thickBot="1" x14ac:dyDescent="0.35">
      <c r="B141" s="475"/>
      <c r="C141" s="111" t="s">
        <v>106</v>
      </c>
      <c r="D141" s="112">
        <v>4</v>
      </c>
      <c r="E141" s="113"/>
      <c r="F141" s="114" t="str">
        <f t="shared" si="18"/>
        <v/>
      </c>
      <c r="G141" s="115"/>
      <c r="H141" s="112" t="str">
        <f t="shared" si="19"/>
        <v/>
      </c>
      <c r="L141" s="11"/>
      <c r="M141" s="11"/>
    </row>
    <row r="142" spans="2:13" s="46" customFormat="1" ht="27.75" customHeight="1" thickTop="1" thickBot="1" x14ac:dyDescent="0.35">
      <c r="B142" s="460" t="s">
        <v>169</v>
      </c>
      <c r="C142" s="460"/>
      <c r="D142" s="461"/>
      <c r="E142" s="462"/>
      <c r="F142" s="463"/>
      <c r="G142" s="462"/>
      <c r="H142" s="476"/>
      <c r="L142" s="11"/>
      <c r="M142" s="11"/>
    </row>
    <row r="143" spans="2:13" s="74" customFormat="1" ht="37.5" customHeight="1" thickTop="1" x14ac:dyDescent="0.3">
      <c r="B143" s="466" t="s">
        <v>170</v>
      </c>
      <c r="C143" s="467"/>
      <c r="D143" s="468"/>
      <c r="E143" s="477" t="str">
        <f>IF(SUM(E134:E141,E142)=0,"",SUM(F134:F141)/E142)</f>
        <v/>
      </c>
      <c r="F143" s="478"/>
      <c r="G143" s="477" t="str">
        <f>IF(SUM(G134:G141,G142)=0,"",SUM(H134:H141)/G142)</f>
        <v/>
      </c>
      <c r="H143" s="479"/>
      <c r="L143" s="10"/>
      <c r="M143" s="10"/>
    </row>
  </sheetData>
  <mergeCells count="122">
    <mergeCell ref="B137:B141"/>
    <mergeCell ref="B142:D142"/>
    <mergeCell ref="E142:F142"/>
    <mergeCell ref="G142:H142"/>
    <mergeCell ref="B143:D143"/>
    <mergeCell ref="E143:F143"/>
    <mergeCell ref="G143:H143"/>
    <mergeCell ref="G129:H129"/>
    <mergeCell ref="B130:D130"/>
    <mergeCell ref="E130:F130"/>
    <mergeCell ref="G130:H130"/>
    <mergeCell ref="B132:D132"/>
    <mergeCell ref="E132:F132"/>
    <mergeCell ref="G132:H132"/>
    <mergeCell ref="G116:H116"/>
    <mergeCell ref="B117:D117"/>
    <mergeCell ref="E117:F117"/>
    <mergeCell ref="G117:H117"/>
    <mergeCell ref="B119:D119"/>
    <mergeCell ref="E119:F119"/>
    <mergeCell ref="G119:H119"/>
    <mergeCell ref="B107:C107"/>
    <mergeCell ref="B108:B110"/>
    <mergeCell ref="B111:B115"/>
    <mergeCell ref="B116:D116"/>
    <mergeCell ref="E116:F116"/>
    <mergeCell ref="G103:H103"/>
    <mergeCell ref="B104:D104"/>
    <mergeCell ref="E104:F104"/>
    <mergeCell ref="G104:H104"/>
    <mergeCell ref="B106:D106"/>
    <mergeCell ref="E106:F106"/>
    <mergeCell ref="G106:H106"/>
    <mergeCell ref="B94:C94"/>
    <mergeCell ref="B95:B97"/>
    <mergeCell ref="B98:B102"/>
    <mergeCell ref="B103:D103"/>
    <mergeCell ref="E103:F103"/>
    <mergeCell ref="G90:H90"/>
    <mergeCell ref="B91:D91"/>
    <mergeCell ref="E91:F91"/>
    <mergeCell ref="G91:H91"/>
    <mergeCell ref="B93:D93"/>
    <mergeCell ref="E93:F93"/>
    <mergeCell ref="G93:H93"/>
    <mergeCell ref="B81:C81"/>
    <mergeCell ref="B82:B84"/>
    <mergeCell ref="B85:B89"/>
    <mergeCell ref="B90:D90"/>
    <mergeCell ref="E90:F90"/>
    <mergeCell ref="G77:H77"/>
    <mergeCell ref="B78:D78"/>
    <mergeCell ref="E78:F78"/>
    <mergeCell ref="G78:H78"/>
    <mergeCell ref="B80:D80"/>
    <mergeCell ref="E80:F80"/>
    <mergeCell ref="G80:H80"/>
    <mergeCell ref="B67:D67"/>
    <mergeCell ref="E67:F67"/>
    <mergeCell ref="G67:H67"/>
    <mergeCell ref="B68:C68"/>
    <mergeCell ref="B69:B71"/>
    <mergeCell ref="B41:D41"/>
    <mergeCell ref="E41:F41"/>
    <mergeCell ref="G41:H41"/>
    <mergeCell ref="B56:B58"/>
    <mergeCell ref="B59:B63"/>
    <mergeCell ref="B65:D65"/>
    <mergeCell ref="E65:F65"/>
    <mergeCell ref="G65:H65"/>
    <mergeCell ref="G51:H51"/>
    <mergeCell ref="B54:D54"/>
    <mergeCell ref="E54:F54"/>
    <mergeCell ref="G54:H54"/>
    <mergeCell ref="B55:C55"/>
    <mergeCell ref="B30:B32"/>
    <mergeCell ref="B33:B37"/>
    <mergeCell ref="B38:D38"/>
    <mergeCell ref="E38:F38"/>
    <mergeCell ref="G38:H38"/>
    <mergeCell ref="G25:H25"/>
    <mergeCell ref="E26:F26"/>
    <mergeCell ref="G26:H26"/>
    <mergeCell ref="B120:C120"/>
    <mergeCell ref="B64:D64"/>
    <mergeCell ref="E64:F64"/>
    <mergeCell ref="G64:H64"/>
    <mergeCell ref="B52:D52"/>
    <mergeCell ref="E52:F52"/>
    <mergeCell ref="G52:H52"/>
    <mergeCell ref="B29:C29"/>
    <mergeCell ref="B42:C42"/>
    <mergeCell ref="B43:B45"/>
    <mergeCell ref="B46:B50"/>
    <mergeCell ref="B51:D51"/>
    <mergeCell ref="E51:F51"/>
    <mergeCell ref="B39:D39"/>
    <mergeCell ref="E39:F39"/>
    <mergeCell ref="G39:H39"/>
    <mergeCell ref="B121:B123"/>
    <mergeCell ref="B124:B128"/>
    <mergeCell ref="B129:D129"/>
    <mergeCell ref="E129:F129"/>
    <mergeCell ref="B133:C133"/>
    <mergeCell ref="B134:B136"/>
    <mergeCell ref="B72:B76"/>
    <mergeCell ref="B77:D77"/>
    <mergeCell ref="E77:F77"/>
    <mergeCell ref="B15:D15"/>
    <mergeCell ref="E15:F15"/>
    <mergeCell ref="B25:D25"/>
    <mergeCell ref="E25:F25"/>
    <mergeCell ref="B3:M3"/>
    <mergeCell ref="K6:M6"/>
    <mergeCell ref="G15:H15"/>
    <mergeCell ref="B26:D26"/>
    <mergeCell ref="B28:D28"/>
    <mergeCell ref="E28:F28"/>
    <mergeCell ref="G28:H28"/>
    <mergeCell ref="B16:C16"/>
    <mergeCell ref="B17:B19"/>
    <mergeCell ref="B20:B24"/>
  </mergeCells>
  <conditionalFormatting sqref="F17:F24 H17:H24">
    <cfRule type="cellIs" dxfId="9" priority="37" operator="equal">
      <formula>0</formula>
    </cfRule>
  </conditionalFormatting>
  <conditionalFormatting sqref="F30:F37 H30:H37">
    <cfRule type="cellIs" dxfId="8" priority="9" operator="equal">
      <formula>0</formula>
    </cfRule>
  </conditionalFormatting>
  <conditionalFormatting sqref="F43:F50 H43:H50">
    <cfRule type="cellIs" dxfId="7" priority="8" operator="equal">
      <formula>0</formula>
    </cfRule>
  </conditionalFormatting>
  <conditionalFormatting sqref="F56:F63 H56:H63">
    <cfRule type="cellIs" dxfId="6" priority="7" operator="equal">
      <formula>0</formula>
    </cfRule>
  </conditionalFormatting>
  <conditionalFormatting sqref="F69:F76 H69:H76">
    <cfRule type="cellIs" dxfId="5" priority="6" operator="equal">
      <formula>0</formula>
    </cfRule>
  </conditionalFormatting>
  <conditionalFormatting sqref="F82:F89 H82:H89">
    <cfRule type="cellIs" dxfId="4" priority="5" operator="equal">
      <formula>0</formula>
    </cfRule>
  </conditionalFormatting>
  <conditionalFormatting sqref="F95:F102 H95:H102">
    <cfRule type="cellIs" dxfId="3" priority="4" operator="equal">
      <formula>0</formula>
    </cfRule>
  </conditionalFormatting>
  <conditionalFormatting sqref="F108:F115 H108:H115">
    <cfRule type="cellIs" dxfId="2" priority="3" operator="equal">
      <formula>0</formula>
    </cfRule>
  </conditionalFormatting>
  <conditionalFormatting sqref="F121:F128 H121:H128">
    <cfRule type="cellIs" dxfId="1" priority="2" operator="equal">
      <formula>0</formula>
    </cfRule>
  </conditionalFormatting>
  <conditionalFormatting sqref="F134:F141 H134:H141">
    <cfRule type="cellIs" dxfId="0" priority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O39"/>
  <sheetViews>
    <sheetView workbookViewId="0"/>
  </sheetViews>
  <sheetFormatPr defaultColWidth="8.77734375" defaultRowHeight="14.4" x14ac:dyDescent="0.3"/>
  <cols>
    <col min="1" max="1" width="3.21875" style="67" customWidth="1"/>
    <col min="2" max="2" width="5.77734375" style="82" customWidth="1"/>
    <col min="3" max="3" width="40.77734375" style="82" customWidth="1"/>
    <col min="4" max="4" width="14.77734375" style="82" customWidth="1"/>
    <col min="5" max="5" width="48" style="80" customWidth="1"/>
    <col min="6" max="7" width="15.77734375" style="82" customWidth="1"/>
    <col min="8" max="8" width="13" style="82" customWidth="1"/>
    <col min="9" max="9" width="12.21875" style="81" customWidth="1"/>
    <col min="10" max="10" width="12.77734375" style="82" hidden="1" customWidth="1"/>
    <col min="11" max="11" width="22.21875" style="67" customWidth="1"/>
    <col min="12" max="16384" width="8.77734375" style="67"/>
  </cols>
  <sheetData>
    <row r="1" spans="2:15" ht="7.5" customHeight="1" x14ac:dyDescent="0.3"/>
    <row r="2" spans="2:15" s="72" customFormat="1" ht="52.5" customHeight="1" x14ac:dyDescent="0.3">
      <c r="B2" s="77" t="s">
        <v>89</v>
      </c>
      <c r="C2" s="77"/>
      <c r="D2" s="77"/>
      <c r="E2" s="77"/>
      <c r="F2" s="79"/>
      <c r="G2" s="79"/>
      <c r="H2" s="79"/>
      <c r="I2" s="78"/>
      <c r="J2" s="79"/>
    </row>
    <row r="3" spans="2:15" s="117" customFormat="1" ht="26.25" customHeight="1" x14ac:dyDescent="0.3">
      <c r="B3" s="117" t="s">
        <v>134</v>
      </c>
      <c r="E3" s="197"/>
    </row>
    <row r="4" spans="2:15" s="119" customFormat="1" ht="18.75" customHeight="1" x14ac:dyDescent="0.3">
      <c r="B4" s="118"/>
      <c r="C4" s="118"/>
      <c r="D4" s="118"/>
      <c r="E4" s="118"/>
      <c r="F4" s="118"/>
      <c r="G4" s="118"/>
      <c r="H4" s="118"/>
      <c r="I4" s="118"/>
      <c r="J4" s="118"/>
    </row>
    <row r="5" spans="2:15" s="130" customFormat="1" ht="19.5" customHeight="1" x14ac:dyDescent="0.3">
      <c r="B5" s="127" t="s">
        <v>69</v>
      </c>
      <c r="C5" s="127"/>
      <c r="D5" s="127"/>
      <c r="E5" s="127"/>
      <c r="F5" s="129"/>
      <c r="G5" s="129"/>
      <c r="H5" s="498" t="s">
        <v>165</v>
      </c>
      <c r="I5" s="498"/>
      <c r="J5" s="498"/>
      <c r="K5" s="499"/>
      <c r="L5" s="482" t="s">
        <v>135</v>
      </c>
      <c r="M5" s="483"/>
      <c r="N5" s="483"/>
      <c r="O5" s="484"/>
    </row>
    <row r="6" spans="2:15" s="130" customFormat="1" ht="19.5" customHeight="1" thickBot="1" x14ac:dyDescent="0.35">
      <c r="B6" s="225">
        <v>1</v>
      </c>
      <c r="C6" s="200" t="s">
        <v>143</v>
      </c>
      <c r="F6" s="129"/>
      <c r="G6" s="129"/>
      <c r="H6" s="491" t="s">
        <v>136</v>
      </c>
      <c r="I6" s="492"/>
      <c r="J6" s="492"/>
      <c r="K6" s="493"/>
      <c r="L6" s="219">
        <v>120</v>
      </c>
      <c r="M6" s="220">
        <v>300</v>
      </c>
      <c r="N6" s="220">
        <v>450</v>
      </c>
      <c r="O6" s="221">
        <v>600</v>
      </c>
    </row>
    <row r="7" spans="2:15" s="130" customFormat="1" ht="19.5" customHeight="1" thickTop="1" x14ac:dyDescent="0.3">
      <c r="B7" s="225">
        <f>B6+1</f>
        <v>2</v>
      </c>
      <c r="C7" s="138" t="s">
        <v>164</v>
      </c>
      <c r="G7" s="129"/>
      <c r="H7" s="502" t="s">
        <v>66</v>
      </c>
      <c r="I7" s="503"/>
      <c r="J7" s="503"/>
      <c r="K7" s="504"/>
      <c r="L7" s="215" t="s">
        <v>1</v>
      </c>
      <c r="M7" s="216" t="s">
        <v>1</v>
      </c>
      <c r="N7" s="217" t="s">
        <v>2</v>
      </c>
      <c r="O7" s="218" t="s">
        <v>2</v>
      </c>
    </row>
    <row r="8" spans="2:15" s="130" customFormat="1" ht="19.5" customHeight="1" x14ac:dyDescent="0.3">
      <c r="B8" s="225">
        <f t="shared" ref="B8:B13" si="0">B7+1</f>
        <v>3</v>
      </c>
      <c r="C8" s="200" t="s">
        <v>144</v>
      </c>
      <c r="F8" s="129"/>
      <c r="G8" s="129"/>
      <c r="H8" s="485" t="s">
        <v>141</v>
      </c>
      <c r="I8" s="486"/>
      <c r="J8" s="486"/>
      <c r="K8" s="487"/>
      <c r="L8" s="211" t="s">
        <v>2</v>
      </c>
      <c r="M8" s="202" t="s">
        <v>3</v>
      </c>
      <c r="N8" s="202" t="s">
        <v>3</v>
      </c>
      <c r="O8" s="203" t="s">
        <v>4</v>
      </c>
    </row>
    <row r="9" spans="2:15" s="130" customFormat="1" ht="19.5" customHeight="1" x14ac:dyDescent="0.3">
      <c r="B9" s="225">
        <f t="shared" si="0"/>
        <v>4</v>
      </c>
      <c r="C9" s="200" t="s">
        <v>148</v>
      </c>
      <c r="F9" s="129"/>
      <c r="G9" s="129"/>
      <c r="H9" s="485" t="s">
        <v>137</v>
      </c>
      <c r="I9" s="486"/>
      <c r="J9" s="486"/>
      <c r="K9" s="487"/>
      <c r="L9" s="212" t="s">
        <v>3</v>
      </c>
      <c r="M9" s="204" t="s">
        <v>4</v>
      </c>
      <c r="N9" s="204" t="s">
        <v>4</v>
      </c>
      <c r="O9" s="205" t="s">
        <v>5</v>
      </c>
    </row>
    <row r="10" spans="2:15" s="130" customFormat="1" ht="19.5" customHeight="1" x14ac:dyDescent="0.3">
      <c r="B10" s="225">
        <f t="shared" si="0"/>
        <v>5</v>
      </c>
      <c r="C10" s="200" t="s">
        <v>145</v>
      </c>
      <c r="F10" s="129"/>
      <c r="G10" s="129"/>
      <c r="H10" s="485" t="s">
        <v>8</v>
      </c>
      <c r="I10" s="486"/>
      <c r="J10" s="486"/>
      <c r="K10" s="487"/>
      <c r="L10" s="213" t="s">
        <v>4</v>
      </c>
      <c r="M10" s="206" t="s">
        <v>5</v>
      </c>
      <c r="N10" s="206" t="s">
        <v>5</v>
      </c>
      <c r="O10" s="207" t="s">
        <v>6</v>
      </c>
    </row>
    <row r="11" spans="2:15" s="130" customFormat="1" ht="19.5" customHeight="1" x14ac:dyDescent="0.3">
      <c r="B11" s="225">
        <f t="shared" si="0"/>
        <v>6</v>
      </c>
      <c r="C11" s="200" t="s">
        <v>146</v>
      </c>
      <c r="F11" s="129"/>
      <c r="G11" s="129"/>
      <c r="H11" s="488" t="s">
        <v>11</v>
      </c>
      <c r="I11" s="489"/>
      <c r="J11" s="489"/>
      <c r="K11" s="490"/>
      <c r="L11" s="214" t="s">
        <v>5</v>
      </c>
      <c r="M11" s="208" t="s">
        <v>5</v>
      </c>
      <c r="N11" s="209" t="s">
        <v>6</v>
      </c>
      <c r="O11" s="210" t="s">
        <v>6</v>
      </c>
    </row>
    <row r="12" spans="2:15" s="130" customFormat="1" ht="19.5" customHeight="1" x14ac:dyDescent="0.3">
      <c r="B12" s="225">
        <f t="shared" si="0"/>
        <v>7</v>
      </c>
      <c r="C12" s="200" t="s">
        <v>147</v>
      </c>
      <c r="F12" s="129"/>
      <c r="G12" s="129"/>
      <c r="H12" s="129"/>
      <c r="I12" s="128"/>
      <c r="J12" s="129"/>
    </row>
    <row r="13" spans="2:15" s="130" customFormat="1" ht="19.5" customHeight="1" x14ac:dyDescent="0.3">
      <c r="B13" s="225">
        <f t="shared" si="0"/>
        <v>8</v>
      </c>
      <c r="C13" s="201" t="s">
        <v>121</v>
      </c>
      <c r="F13" s="129"/>
      <c r="G13" s="129"/>
      <c r="H13" s="129"/>
      <c r="I13" s="128"/>
      <c r="J13" s="129"/>
    </row>
    <row r="15" spans="2:15" s="182" customFormat="1" ht="52.5" customHeight="1" thickBot="1" x14ac:dyDescent="0.35">
      <c r="B15" s="500" t="s">
        <v>140</v>
      </c>
      <c r="C15" s="501"/>
      <c r="D15" s="185" t="s">
        <v>149</v>
      </c>
      <c r="E15" s="183" t="s">
        <v>136</v>
      </c>
      <c r="F15" s="184" t="s">
        <v>138</v>
      </c>
      <c r="G15" s="185" t="s">
        <v>139</v>
      </c>
      <c r="H15" s="186" t="s">
        <v>60</v>
      </c>
      <c r="I15" s="187" t="s">
        <v>10</v>
      </c>
      <c r="J15" s="184" t="s">
        <v>142</v>
      </c>
    </row>
    <row r="16" spans="2:15" s="46" customFormat="1" ht="24" customHeight="1" thickTop="1" x14ac:dyDescent="0.3">
      <c r="B16" s="494" t="s">
        <v>173</v>
      </c>
      <c r="C16" s="495"/>
      <c r="D16" s="190" t="s">
        <v>26</v>
      </c>
      <c r="E16" s="188" t="s">
        <v>8</v>
      </c>
      <c r="F16" s="189">
        <v>6.3</v>
      </c>
      <c r="G16" s="190">
        <v>60</v>
      </c>
      <c r="H16" s="222">
        <f>IF(OR(F16="",G16=""),"",G16*F16)</f>
        <v>378</v>
      </c>
      <c r="I16" s="191" t="str">
        <f>IF(H16="","",VLOOKUP(E16,$H$7:$O$11,J16,FALSE))</f>
        <v>E</v>
      </c>
      <c r="J16" s="192">
        <f>IF(H16="","",IF(H16&lt;$L$6,5,IF(H16&lt;$M$6,6,IF(H16&lt;$N$6,7,8))))</f>
        <v>7</v>
      </c>
    </row>
    <row r="17" spans="2:10" s="46" customFormat="1" ht="24" customHeight="1" x14ac:dyDescent="0.3">
      <c r="B17" s="480" t="s">
        <v>173</v>
      </c>
      <c r="C17" s="481"/>
      <c r="D17" s="194" t="s">
        <v>27</v>
      </c>
      <c r="E17" s="198" t="s">
        <v>8</v>
      </c>
      <c r="F17" s="193">
        <v>4.5</v>
      </c>
      <c r="G17" s="194">
        <v>60</v>
      </c>
      <c r="H17" s="223">
        <f t="shared" ref="H17:H39" si="1">IF(OR(F17="",G17=""),"",G17*F17)</f>
        <v>270</v>
      </c>
      <c r="I17" s="174" t="str">
        <f t="shared" ref="I17:I25" si="2">IF(H17="","",VLOOKUP(E17,$H$7:$S$11,J17,FALSE))</f>
        <v>E</v>
      </c>
      <c r="J17" s="162">
        <f t="shared" ref="J17:J39" si="3">IF(H17="","",IF(H17&lt;$L$6,5,IF(H17&lt;$M$6,6,IF(H17&lt;$N$6,7,8))))</f>
        <v>6</v>
      </c>
    </row>
    <row r="18" spans="2:10" s="46" customFormat="1" ht="24" customHeight="1" x14ac:dyDescent="0.3">
      <c r="B18" s="480" t="s">
        <v>113</v>
      </c>
      <c r="C18" s="481"/>
      <c r="D18" s="194"/>
      <c r="E18" s="198"/>
      <c r="F18" s="193"/>
      <c r="G18" s="194"/>
      <c r="H18" s="223" t="str">
        <f t="shared" si="1"/>
        <v/>
      </c>
      <c r="I18" s="174" t="str">
        <f t="shared" si="2"/>
        <v/>
      </c>
      <c r="J18" s="162" t="str">
        <f t="shared" si="3"/>
        <v/>
      </c>
    </row>
    <row r="19" spans="2:10" s="46" customFormat="1" ht="24" customHeight="1" x14ac:dyDescent="0.3">
      <c r="B19" s="480" t="s">
        <v>114</v>
      </c>
      <c r="C19" s="481"/>
      <c r="D19" s="194"/>
      <c r="E19" s="198"/>
      <c r="F19" s="193"/>
      <c r="G19" s="194"/>
      <c r="H19" s="223" t="str">
        <f t="shared" si="1"/>
        <v/>
      </c>
      <c r="I19" s="174" t="str">
        <f t="shared" si="2"/>
        <v/>
      </c>
      <c r="J19" s="162" t="str">
        <f t="shared" si="3"/>
        <v/>
      </c>
    </row>
    <row r="20" spans="2:10" s="46" customFormat="1" ht="24" customHeight="1" x14ac:dyDescent="0.3">
      <c r="B20" s="480" t="s">
        <v>115</v>
      </c>
      <c r="C20" s="481"/>
      <c r="D20" s="194"/>
      <c r="E20" s="198"/>
      <c r="F20" s="193"/>
      <c r="G20" s="194"/>
      <c r="H20" s="223" t="str">
        <f t="shared" si="1"/>
        <v/>
      </c>
      <c r="I20" s="174" t="str">
        <f t="shared" si="2"/>
        <v/>
      </c>
      <c r="J20" s="162" t="str">
        <f t="shared" si="3"/>
        <v/>
      </c>
    </row>
    <row r="21" spans="2:10" s="46" customFormat="1" ht="24" customHeight="1" x14ac:dyDescent="0.3">
      <c r="B21" s="480" t="s">
        <v>117</v>
      </c>
      <c r="C21" s="481"/>
      <c r="D21" s="194"/>
      <c r="E21" s="198"/>
      <c r="F21" s="193"/>
      <c r="G21" s="194"/>
      <c r="H21" s="223" t="str">
        <f t="shared" si="1"/>
        <v/>
      </c>
      <c r="I21" s="174" t="str">
        <f t="shared" si="2"/>
        <v/>
      </c>
      <c r="J21" s="162" t="str">
        <f t="shared" si="3"/>
        <v/>
      </c>
    </row>
    <row r="22" spans="2:10" s="46" customFormat="1" ht="24" customHeight="1" x14ac:dyDescent="0.3">
      <c r="B22" s="480" t="s">
        <v>116</v>
      </c>
      <c r="C22" s="481"/>
      <c r="D22" s="194"/>
      <c r="E22" s="198"/>
      <c r="F22" s="193"/>
      <c r="G22" s="194"/>
      <c r="H22" s="223" t="str">
        <f t="shared" si="1"/>
        <v/>
      </c>
      <c r="I22" s="174" t="str">
        <f t="shared" si="2"/>
        <v/>
      </c>
      <c r="J22" s="162" t="str">
        <f t="shared" si="3"/>
        <v/>
      </c>
    </row>
    <row r="23" spans="2:10" s="46" customFormat="1" ht="24" customHeight="1" x14ac:dyDescent="0.3">
      <c r="B23" s="480" t="s">
        <v>118</v>
      </c>
      <c r="C23" s="481"/>
      <c r="D23" s="194"/>
      <c r="E23" s="198"/>
      <c r="F23" s="193"/>
      <c r="G23" s="194"/>
      <c r="H23" s="223" t="str">
        <f t="shared" si="1"/>
        <v/>
      </c>
      <c r="I23" s="174" t="str">
        <f t="shared" si="2"/>
        <v/>
      </c>
      <c r="J23" s="162" t="str">
        <f t="shared" si="3"/>
        <v/>
      </c>
    </row>
    <row r="24" spans="2:10" s="46" customFormat="1" ht="24" customHeight="1" x14ac:dyDescent="0.3">
      <c r="B24" s="480" t="s">
        <v>119</v>
      </c>
      <c r="C24" s="481"/>
      <c r="D24" s="194"/>
      <c r="E24" s="198"/>
      <c r="F24" s="193"/>
      <c r="G24" s="194"/>
      <c r="H24" s="223" t="str">
        <f t="shared" si="1"/>
        <v/>
      </c>
      <c r="I24" s="174" t="str">
        <f t="shared" si="2"/>
        <v/>
      </c>
      <c r="J24" s="162" t="str">
        <f t="shared" si="3"/>
        <v/>
      </c>
    </row>
    <row r="25" spans="2:10" s="46" customFormat="1" ht="24" customHeight="1" x14ac:dyDescent="0.3">
      <c r="B25" s="496" t="s">
        <v>120</v>
      </c>
      <c r="C25" s="497"/>
      <c r="D25" s="196"/>
      <c r="E25" s="199"/>
      <c r="F25" s="195"/>
      <c r="G25" s="196"/>
      <c r="H25" s="224" t="str">
        <f t="shared" si="1"/>
        <v/>
      </c>
      <c r="I25" s="176" t="str">
        <f t="shared" si="2"/>
        <v/>
      </c>
      <c r="J25" s="162" t="str">
        <f t="shared" si="3"/>
        <v/>
      </c>
    </row>
    <row r="26" spans="2:10" ht="24" customHeight="1" x14ac:dyDescent="0.3">
      <c r="B26" s="480" t="s">
        <v>150</v>
      </c>
      <c r="C26" s="481"/>
      <c r="D26" s="194"/>
      <c r="E26" s="198"/>
      <c r="F26" s="193"/>
      <c r="G26" s="194"/>
      <c r="H26" s="223" t="str">
        <f t="shared" si="1"/>
        <v/>
      </c>
      <c r="I26" s="174" t="str">
        <f t="shared" ref="I26:I39" si="4">IF(H26="","",VLOOKUP(E26,$H$7:$S$11,J26,FALSE))</f>
        <v/>
      </c>
      <c r="J26" s="162" t="str">
        <f t="shared" si="3"/>
        <v/>
      </c>
    </row>
    <row r="27" spans="2:10" ht="24" customHeight="1" x14ac:dyDescent="0.3">
      <c r="B27" s="496" t="s">
        <v>151</v>
      </c>
      <c r="C27" s="497"/>
      <c r="D27" s="196"/>
      <c r="E27" s="199"/>
      <c r="F27" s="195"/>
      <c r="G27" s="196"/>
      <c r="H27" s="224" t="str">
        <f t="shared" si="1"/>
        <v/>
      </c>
      <c r="I27" s="176" t="str">
        <f t="shared" si="4"/>
        <v/>
      </c>
      <c r="J27" s="162" t="str">
        <f t="shared" si="3"/>
        <v/>
      </c>
    </row>
    <row r="28" spans="2:10" ht="24" customHeight="1" x14ac:dyDescent="0.3">
      <c r="B28" s="480" t="s">
        <v>152</v>
      </c>
      <c r="C28" s="481"/>
      <c r="D28" s="194"/>
      <c r="E28" s="198"/>
      <c r="F28" s="193"/>
      <c r="G28" s="194"/>
      <c r="H28" s="223" t="str">
        <f t="shared" si="1"/>
        <v/>
      </c>
      <c r="I28" s="174" t="str">
        <f t="shared" si="4"/>
        <v/>
      </c>
      <c r="J28" s="162" t="str">
        <f t="shared" si="3"/>
        <v/>
      </c>
    </row>
    <row r="29" spans="2:10" ht="24" customHeight="1" x14ac:dyDescent="0.3">
      <c r="B29" s="496" t="s">
        <v>153</v>
      </c>
      <c r="C29" s="497"/>
      <c r="D29" s="196"/>
      <c r="E29" s="199"/>
      <c r="F29" s="195"/>
      <c r="G29" s="196"/>
      <c r="H29" s="224" t="str">
        <f t="shared" si="1"/>
        <v/>
      </c>
      <c r="I29" s="176" t="str">
        <f t="shared" si="4"/>
        <v/>
      </c>
      <c r="J29" s="162" t="str">
        <f t="shared" si="3"/>
        <v/>
      </c>
    </row>
    <row r="30" spans="2:10" ht="24" customHeight="1" x14ac:dyDescent="0.3">
      <c r="B30" s="480" t="s">
        <v>154</v>
      </c>
      <c r="C30" s="481"/>
      <c r="D30" s="194"/>
      <c r="E30" s="198"/>
      <c r="F30" s="193"/>
      <c r="G30" s="194"/>
      <c r="H30" s="223" t="str">
        <f t="shared" si="1"/>
        <v/>
      </c>
      <c r="I30" s="174" t="str">
        <f t="shared" si="4"/>
        <v/>
      </c>
      <c r="J30" s="162" t="str">
        <f t="shared" si="3"/>
        <v/>
      </c>
    </row>
    <row r="31" spans="2:10" ht="24" customHeight="1" x14ac:dyDescent="0.3">
      <c r="B31" s="496" t="s">
        <v>155</v>
      </c>
      <c r="C31" s="497"/>
      <c r="D31" s="196"/>
      <c r="E31" s="199"/>
      <c r="F31" s="195"/>
      <c r="G31" s="196"/>
      <c r="H31" s="224" t="str">
        <f t="shared" si="1"/>
        <v/>
      </c>
      <c r="I31" s="176" t="str">
        <f t="shared" si="4"/>
        <v/>
      </c>
      <c r="J31" s="162" t="str">
        <f t="shared" si="3"/>
        <v/>
      </c>
    </row>
    <row r="32" spans="2:10" ht="24" customHeight="1" x14ac:dyDescent="0.3">
      <c r="B32" s="480" t="s">
        <v>156</v>
      </c>
      <c r="C32" s="481"/>
      <c r="D32" s="194"/>
      <c r="E32" s="198"/>
      <c r="F32" s="193"/>
      <c r="G32" s="194"/>
      <c r="H32" s="223" t="str">
        <f t="shared" si="1"/>
        <v/>
      </c>
      <c r="I32" s="174" t="str">
        <f t="shared" si="4"/>
        <v/>
      </c>
      <c r="J32" s="162" t="str">
        <f t="shared" si="3"/>
        <v/>
      </c>
    </row>
    <row r="33" spans="2:10" ht="24" customHeight="1" x14ac:dyDescent="0.3">
      <c r="B33" s="496" t="s">
        <v>157</v>
      </c>
      <c r="C33" s="497"/>
      <c r="D33" s="196"/>
      <c r="E33" s="199"/>
      <c r="F33" s="195"/>
      <c r="G33" s="196"/>
      <c r="H33" s="224" t="str">
        <f t="shared" si="1"/>
        <v/>
      </c>
      <c r="I33" s="176" t="str">
        <f t="shared" si="4"/>
        <v/>
      </c>
      <c r="J33" s="162" t="str">
        <f t="shared" si="3"/>
        <v/>
      </c>
    </row>
    <row r="34" spans="2:10" ht="24" customHeight="1" x14ac:dyDescent="0.3">
      <c r="B34" s="480" t="s">
        <v>158</v>
      </c>
      <c r="C34" s="481"/>
      <c r="D34" s="194"/>
      <c r="E34" s="198"/>
      <c r="F34" s="193"/>
      <c r="G34" s="194"/>
      <c r="H34" s="223" t="str">
        <f t="shared" si="1"/>
        <v/>
      </c>
      <c r="I34" s="174" t="str">
        <f t="shared" si="4"/>
        <v/>
      </c>
      <c r="J34" s="162" t="str">
        <f t="shared" si="3"/>
        <v/>
      </c>
    </row>
    <row r="35" spans="2:10" ht="24" customHeight="1" x14ac:dyDescent="0.3">
      <c r="B35" s="496" t="s">
        <v>159</v>
      </c>
      <c r="C35" s="497"/>
      <c r="D35" s="196"/>
      <c r="E35" s="199"/>
      <c r="F35" s="195"/>
      <c r="G35" s="196"/>
      <c r="H35" s="224" t="str">
        <f t="shared" si="1"/>
        <v/>
      </c>
      <c r="I35" s="176" t="str">
        <f t="shared" si="4"/>
        <v/>
      </c>
      <c r="J35" s="162" t="str">
        <f t="shared" si="3"/>
        <v/>
      </c>
    </row>
    <row r="36" spans="2:10" ht="24" customHeight="1" x14ac:dyDescent="0.3">
      <c r="B36" s="480" t="s">
        <v>160</v>
      </c>
      <c r="C36" s="481"/>
      <c r="D36" s="194"/>
      <c r="E36" s="198"/>
      <c r="F36" s="193"/>
      <c r="G36" s="194"/>
      <c r="H36" s="223" t="str">
        <f t="shared" si="1"/>
        <v/>
      </c>
      <c r="I36" s="174" t="str">
        <f t="shared" si="4"/>
        <v/>
      </c>
      <c r="J36" s="162" t="str">
        <f t="shared" si="3"/>
        <v/>
      </c>
    </row>
    <row r="37" spans="2:10" ht="24" customHeight="1" x14ac:dyDescent="0.3">
      <c r="B37" s="496" t="s">
        <v>161</v>
      </c>
      <c r="C37" s="497"/>
      <c r="D37" s="196"/>
      <c r="E37" s="199"/>
      <c r="F37" s="195"/>
      <c r="G37" s="196"/>
      <c r="H37" s="224" t="str">
        <f t="shared" si="1"/>
        <v/>
      </c>
      <c r="I37" s="176" t="str">
        <f t="shared" si="4"/>
        <v/>
      </c>
      <c r="J37" s="162" t="str">
        <f t="shared" si="3"/>
        <v/>
      </c>
    </row>
    <row r="38" spans="2:10" ht="24" customHeight="1" x14ac:dyDescent="0.3">
      <c r="B38" s="480" t="s">
        <v>162</v>
      </c>
      <c r="C38" s="481"/>
      <c r="D38" s="194"/>
      <c r="E38" s="198"/>
      <c r="F38" s="193"/>
      <c r="G38" s="194"/>
      <c r="H38" s="223" t="str">
        <f t="shared" si="1"/>
        <v/>
      </c>
      <c r="I38" s="174" t="str">
        <f t="shared" si="4"/>
        <v/>
      </c>
      <c r="J38" s="162" t="str">
        <f t="shared" si="3"/>
        <v/>
      </c>
    </row>
    <row r="39" spans="2:10" ht="24" customHeight="1" x14ac:dyDescent="0.3">
      <c r="B39" s="496" t="s">
        <v>163</v>
      </c>
      <c r="C39" s="497"/>
      <c r="D39" s="196"/>
      <c r="E39" s="199"/>
      <c r="F39" s="195"/>
      <c r="G39" s="196"/>
      <c r="H39" s="224" t="str">
        <f t="shared" si="1"/>
        <v/>
      </c>
      <c r="I39" s="176" t="str">
        <f t="shared" si="4"/>
        <v/>
      </c>
      <c r="J39" s="162" t="str">
        <f t="shared" si="3"/>
        <v/>
      </c>
    </row>
  </sheetData>
  <mergeCells count="33">
    <mergeCell ref="B38:C38"/>
    <mergeCell ref="B39:C39"/>
    <mergeCell ref="H5:K5"/>
    <mergeCell ref="B26:C26"/>
    <mergeCell ref="B27:C27"/>
    <mergeCell ref="B29:C29"/>
    <mergeCell ref="B30:C30"/>
    <mergeCell ref="B31:C31"/>
    <mergeCell ref="B32:C32"/>
    <mergeCell ref="B23:C23"/>
    <mergeCell ref="B24:C24"/>
    <mergeCell ref="B25:C25"/>
    <mergeCell ref="B15:C15"/>
    <mergeCell ref="H8:K8"/>
    <mergeCell ref="H7:K7"/>
    <mergeCell ref="B22:C22"/>
    <mergeCell ref="B37:C37"/>
    <mergeCell ref="B33:C33"/>
    <mergeCell ref="B34:C34"/>
    <mergeCell ref="B35:C35"/>
    <mergeCell ref="B36:C36"/>
    <mergeCell ref="B28:C28"/>
    <mergeCell ref="L5:O5"/>
    <mergeCell ref="H10:K10"/>
    <mergeCell ref="H11:K11"/>
    <mergeCell ref="H6:K6"/>
    <mergeCell ref="H9:K9"/>
    <mergeCell ref="B16:C16"/>
    <mergeCell ref="B17:C17"/>
    <mergeCell ref="B18:C18"/>
    <mergeCell ref="B19:C19"/>
    <mergeCell ref="B20:C20"/>
    <mergeCell ref="B21:C21"/>
  </mergeCells>
  <dataValidations count="1">
    <dataValidation type="list" allowBlank="1" showInputMessage="1" showErrorMessage="1" sqref="E16:E39">
      <formula1>$H$7:$H$11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Controls!$G$5:$G$8</xm:f>
          </x14:formula1>
          <xm:sqref>D16:D39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ColWidth="12.44140625" defaultRowHeight="21.75" customHeight="1" x14ac:dyDescent="0.3"/>
  <cols>
    <col min="1" max="1" width="4.44140625" style="18" customWidth="1"/>
    <col min="2" max="3" width="12.44140625" style="18"/>
    <col min="4" max="4" width="6" style="18" customWidth="1"/>
    <col min="5" max="5" width="12.44140625" style="18"/>
    <col min="6" max="6" width="6" style="18" customWidth="1"/>
    <col min="7" max="16384" width="12.44140625" style="18"/>
  </cols>
  <sheetData>
    <row r="1" spans="1:7" ht="7.5" customHeight="1" x14ac:dyDescent="0.3"/>
    <row r="2" spans="1:7" s="179" customFormat="1" ht="52.5" customHeight="1" x14ac:dyDescent="0.3">
      <c r="A2" s="177"/>
      <c r="B2" s="178" t="s">
        <v>131</v>
      </c>
    </row>
    <row r="4" spans="1:7" s="23" customFormat="1" ht="30" customHeight="1" thickBot="1" x14ac:dyDescent="0.35">
      <c r="B4" s="180" t="s">
        <v>10</v>
      </c>
      <c r="C4" s="180" t="s">
        <v>16</v>
      </c>
      <c r="E4" s="181" t="s">
        <v>19</v>
      </c>
      <c r="G4" s="181" t="s">
        <v>23</v>
      </c>
    </row>
    <row r="5" spans="1:7" s="20" customFormat="1" ht="21.75" customHeight="1" thickTop="1" x14ac:dyDescent="0.3">
      <c r="B5" s="21" t="s">
        <v>1</v>
      </c>
      <c r="C5" s="21">
        <v>6</v>
      </c>
      <c r="E5" s="22" t="s">
        <v>20</v>
      </c>
      <c r="G5" s="22" t="s">
        <v>24</v>
      </c>
    </row>
    <row r="6" spans="1:7" ht="21.75" customHeight="1" x14ac:dyDescent="0.3">
      <c r="B6" s="17" t="s">
        <v>2</v>
      </c>
      <c r="C6" s="17">
        <f>C5-1</f>
        <v>5</v>
      </c>
      <c r="E6" s="19" t="s">
        <v>21</v>
      </c>
      <c r="G6" s="19" t="s">
        <v>25</v>
      </c>
    </row>
    <row r="7" spans="1:7" ht="21.75" customHeight="1" x14ac:dyDescent="0.3">
      <c r="B7" s="17" t="s">
        <v>3</v>
      </c>
      <c r="C7" s="17">
        <f>C6-1</f>
        <v>4</v>
      </c>
      <c r="G7" s="19" t="s">
        <v>27</v>
      </c>
    </row>
    <row r="8" spans="1:7" ht="21.75" customHeight="1" x14ac:dyDescent="0.3">
      <c r="B8" s="17" t="s">
        <v>4</v>
      </c>
      <c r="C8" s="17">
        <f>C7-1</f>
        <v>3</v>
      </c>
      <c r="G8" s="19" t="s">
        <v>26</v>
      </c>
    </row>
    <row r="9" spans="1:7" ht="21.75" customHeight="1" x14ac:dyDescent="0.3">
      <c r="B9" s="17" t="s">
        <v>5</v>
      </c>
      <c r="C9" s="17">
        <f>C8-1</f>
        <v>2</v>
      </c>
    </row>
    <row r="10" spans="1:7" ht="21.75" customHeight="1" x14ac:dyDescent="0.3">
      <c r="B10" s="17" t="s">
        <v>6</v>
      </c>
      <c r="C10" s="17">
        <f>C9-1</f>
        <v>1</v>
      </c>
    </row>
    <row r="14" spans="1:7" ht="21.75" customHeight="1" x14ac:dyDescent="0.3">
      <c r="B14" s="18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workbookViewId="0"/>
  </sheetViews>
  <sheetFormatPr defaultRowHeight="14.4" x14ac:dyDescent="0.3"/>
  <cols>
    <col min="1" max="1" width="25.109375" customWidth="1"/>
    <col min="2" max="2" width="25.33203125" customWidth="1"/>
    <col min="3" max="3" width="23" customWidth="1"/>
    <col min="4" max="4" width="26.44140625" customWidth="1"/>
    <col min="5" max="5" width="30.6640625" customWidth="1"/>
    <col min="6" max="6" width="38.5546875" customWidth="1"/>
  </cols>
  <sheetData>
    <row r="1" spans="1:12" ht="15.6" x14ac:dyDescent="0.3">
      <c r="A1" s="52" t="s">
        <v>87</v>
      </c>
      <c r="B1" s="53"/>
      <c r="C1" s="53"/>
      <c r="D1" s="53"/>
      <c r="E1" s="53"/>
      <c r="F1" s="53"/>
      <c r="K1" s="257"/>
      <c r="L1" s="257"/>
    </row>
    <row r="2" spans="1:12" x14ac:dyDescent="0.3">
      <c r="A2" s="51"/>
      <c r="B2" s="50"/>
      <c r="C2" s="50"/>
      <c r="D2" s="50"/>
      <c r="E2" s="50"/>
      <c r="F2" s="50"/>
    </row>
    <row r="3" spans="1:12" ht="24" thickBot="1" x14ac:dyDescent="0.35">
      <c r="A3" s="263" t="s">
        <v>13</v>
      </c>
      <c r="B3" s="393" t="s">
        <v>29</v>
      </c>
      <c r="C3" s="393"/>
      <c r="D3" s="393"/>
      <c r="E3" s="393"/>
      <c r="F3" s="393"/>
    </row>
    <row r="4" spans="1:12" ht="22.2" thickTop="1" thickBot="1" x14ac:dyDescent="0.35">
      <c r="A4" s="54" t="s">
        <v>22</v>
      </c>
      <c r="B4" s="395" t="s">
        <v>191</v>
      </c>
      <c r="C4" s="395"/>
      <c r="D4" s="395"/>
      <c r="E4" s="395"/>
      <c r="F4" s="395"/>
    </row>
    <row r="5" spans="1:12" ht="65.55" customHeight="1" thickTop="1" x14ac:dyDescent="0.3">
      <c r="A5" s="55" t="s">
        <v>28</v>
      </c>
      <c r="B5" s="56"/>
      <c r="C5" s="57"/>
      <c r="D5" s="57"/>
      <c r="E5" s="57"/>
      <c r="F5" s="58"/>
    </row>
    <row r="6" spans="1:12" ht="23.4" x14ac:dyDescent="0.3">
      <c r="A6" s="397" t="s">
        <v>48</v>
      </c>
      <c r="B6" s="397"/>
      <c r="C6" s="397"/>
      <c r="D6" s="397"/>
      <c r="E6" s="397"/>
      <c r="F6" s="397"/>
    </row>
    <row r="7" spans="1:12" ht="23.4" x14ac:dyDescent="0.3">
      <c r="A7" s="237" t="s">
        <v>176</v>
      </c>
      <c r="B7" s="400" t="s">
        <v>9</v>
      </c>
      <c r="C7" s="400"/>
      <c r="D7" s="400"/>
      <c r="E7" s="400"/>
      <c r="F7" s="400"/>
    </row>
    <row r="8" spans="1:12" ht="33.6" x14ac:dyDescent="0.3">
      <c r="A8" s="59" t="s">
        <v>15</v>
      </c>
      <c r="B8" s="60" t="str">
        <f>VLOOKUP(IF(B9="Upwards",INDEX(Grades!R17:S22,MATCH(VLOOKUP($B$4,Targets!$D$6:$I$15,2,FALSE),Grades!R17:R22,0)-1,2),IF(B9="Downwards",INDEX(Grades!R17:S22,MATCH(VLOOKUP($B$4,Targets!$D$6:$I$15,2,FALSE),Grades!R17:R22,0)+1,2),INDEX(Grades!R17:S22,MATCH(VLOOKUP($B$4,Targets!$D$6:$I$15,2,FALSE),Grades!R17:R22,0),2))),Grades!S17:T22,2,FALSE)</f>
        <v>C</v>
      </c>
      <c r="C8" s="60" t="str">
        <f>VLOOKUP(IF(C9="Upwards",INDEX(Grades!R17:S22,MATCH(VLOOKUP($B$4,Targets!$D$6:$I$15,2,FALSE),Grades!R17:R22,0)-1,2),IF(C9="Downwards",INDEX(Grades!R17:S22,MATCH(VLOOKUP($B$4,Targets!$D$6:$I$15,2,FALSE),Grades!R17:R22,0)+1,2),INDEX(Grades!R17:S22,MATCH(VLOOKUP($B$4,Targets!$D$6:$I$15,2,FALSE),Grades!R17:R22,0),2))),Grades!S17:T22,2,FALSE)</f>
        <v>B</v>
      </c>
      <c r="D8" s="60" t="str">
        <f>VLOOKUP(IF(D9="Upwards",INDEX(Grades!R17:S22,MATCH(VLOOKUP($B$4,Targets!$D$6:$I$15,2,FALSE),Grades!R17:R22,0)-1,2),IF(D9="Downwards",INDEX(Grades!R17:S22,MATCH(VLOOKUP($B$4,Targets!$D$6:$I$15,2,FALSE),Grades!R17:R22,0)+1,2),INDEX(Grades!R17:S22,MATCH(VLOOKUP($B$4,Targets!$D$6:$I$15,2,FALSE),Grades!R17:R22,0),2))),Grades!S17:T22,2,FALSE)</f>
        <v>B</v>
      </c>
      <c r="E8" s="60" t="str">
        <f>VLOOKUP(IF(E9="Upwards",INDEX(Grades!R17:S22,MATCH(VLOOKUP($B$4,Targets!$D$6:$I$15,2,FALSE),Grades!R17:R22,0)-1,2),IF(E9="Downwards",INDEX(Grades!R17:S22,MATCH(VLOOKUP($B$4,Targets!$D$6:$I$15,2,FALSE),Grades!R17:R22,0)+1,2),INDEX(Grades!R17:S22,MATCH(VLOOKUP($B$4,Targets!$D$6:$I$15,2,FALSE),Grades!R17:R22,0),2))),Grades!S17:T22,2,FALSE)</f>
        <v>B</v>
      </c>
      <c r="F8" s="60" t="str">
        <f>VLOOKUP(IF(F9="Upwards",INDEX(Grades!R17:S22,MATCH(VLOOKUP($B$4,Targets!$D$6:$I$15,2,FALSE),Grades!R17:R22,0)-1,2),IF(F9="Downwards",INDEX(Grades!R17:S22,MATCH(VLOOKUP($B$4,Targets!$D$6:$I$15,2,FALSE),Grades!R17:R22,0)+1,2),INDEX(Grades!R17:S22,MATCH(VLOOKUP($B$4,Targets!$D$6:$I$15,2,FALSE),Grades!R17:R22,0),2))),Grades!S17:T22,2,FALSE)</f>
        <v>B</v>
      </c>
    </row>
    <row r="9" spans="1:12" ht="67.2" x14ac:dyDescent="0.3">
      <c r="A9" s="59" t="s">
        <v>233</v>
      </c>
      <c r="B9" s="258" t="s">
        <v>234</v>
      </c>
      <c r="C9" s="258" t="s">
        <v>236</v>
      </c>
      <c r="D9" s="258" t="s">
        <v>236</v>
      </c>
      <c r="E9" s="258" t="s">
        <v>236</v>
      </c>
      <c r="F9" s="258" t="s">
        <v>236</v>
      </c>
    </row>
    <row r="10" spans="1:12" ht="33.6" x14ac:dyDescent="0.3">
      <c r="A10" s="59" t="s">
        <v>237</v>
      </c>
      <c r="B10" s="258"/>
      <c r="C10" s="258"/>
      <c r="D10" s="258"/>
      <c r="E10" s="258"/>
      <c r="F10" s="258"/>
    </row>
    <row r="11" spans="1:12" ht="34.200000000000003" thickBot="1" x14ac:dyDescent="0.35">
      <c r="A11" s="59" t="s">
        <v>14</v>
      </c>
      <c r="B11" s="261" t="str">
        <f>_xlfn.IFNA(VLOOKUP(IF(B7="UNSIGNALIZED INTERSECTIONS",ROUND(AVERAGE(IF(B20="",0,INDEX(Grades!R17:T22,MATCH(B20,Grades!J5:O5,0),2)),(IF(B22="",0,INDEX(Grades!R17:T22,MATCH(B22,Grades!J6:O6),2))),(IF(B24="",0,INDEX(Grades!R17:T22,MATCH(B24,Grades!J7:O7,0),2))),(IF(B26="",0,INDEX(Grades!R17:T22,MATCH(B26,Grades!J8:O8,0),2)))),0),IF(B7="SIGNALIZED INTERSECTIONS",ROUND(AVERAGE(IF(B20="",0,INDEX(Grades!R17:T22,MATCH(B20,Grades!J27:O27,0),2)),(IF(B22="",0,INDEX(Grades!R17:T22,MATCH(B22,Grades!J28:O28),2))),(IF(B24="",0,INDEX(Grades!R17:T22,MATCH(B24,Grades!J29:O29,0),2))),(IF(B26="",0,INDEX(Grades!R17:T22,MATCH(B26,Grades!J30:O30,0),2)))),0),ROUND(AVERAGE(IF(B20="",0,INDEX(Grades!R17:T22,MATCH(B20,Grades!J49:O49,0),2)),(IF(B22="",0,INDEX(Grades!R17:T22,MATCH(B22,Grades!J50:O50),2))),(IF(B24="",0,INDEX(Grades!R17:T22,MATCH(B24,Grades!J51:O51,0),2))),(IF(B26="",0,INDEX(Grades!R17:T22,MATCH(B26,Grades!J52:O52,0),2)))),0))),Grades!S17:T22,2,FALSE),"")</f>
        <v/>
      </c>
      <c r="C11" s="60" t="str">
        <f>_xlfn.IFNA(VLOOKUP(IF(B7="UNSIGNALIZED INTERSECTIONS",ROUND(AVERAGE(IF(C20="",0,INDEX(Grades!R17:T22,MATCH(C20,Grades!J9:O9,0),2)),(IF(C22="",0,INDEX(Grades!R17:T22,MATCH(C22,Grades!J10:O10),2))),(IF(C24="",0,INDEX(Grades!R17:T22,MATCH(C24,Grades!J11:O11,0),2))),(IF(C26="",0,INDEX(Grades!R17:T22,MATCH(C26,Grades!J12:O12,0),2)))),0),IF(B7="SIGNALIZED INTERSECTIONS",ROUND(AVERAGE(IF(C20="",0,INDEX(Grades!R17:T22,MATCH(C20,Grades!J31:O31,0),2)),(IF(C22="",0,INDEX(Grades!R17:T22,MATCH(C22,Grades!J32:O32),2))),(IF(C24="",0,INDEX(Grades!R17:T22,MATCH(C24,Grades!J33:O33,0),2))),(IF(C26="",0,INDEX(Grades!R17:T22,MATCH(C26,Grades!J34:O34,0),2)))),0),ROUND(AVERAGE(IF(C20="",0,INDEX(Grades!R17:T22,MATCH(C20,Grades!J53:O53,0),2)),(IF(C22="",0,INDEX(Grades!R17:T22,MATCH(C22,Grades!J54:O54),2))),(IF(C24="",0,INDEX(Grades!R17:T22,MATCH(C24,Grades!J55:O55,0),2))),(IF(C26="",0,INDEX(Grades!R17:T22,MATCH(C26,Grades!J56:O56,0),2)))),0))),Grades!S17:T22,2,FALSE),"")</f>
        <v/>
      </c>
      <c r="D11" s="60" t="str">
        <f>_xlfn.IFNA(VLOOKUP(IF(B7="UNSIGNALIZED INTERSECTIONS",ROUND(AVERAGE(IF(D20="",0,INDEX(Grades!R17:T22,MATCH(D20,Grades!J13:O13,0),2)),(IF(D22="",0,INDEX(Grades!R17:T22,MATCH(D22,Grades!J14:O14),2))),(IF(D24="",0,INDEX(Grades!R17:T22,MATCH(D24,Grades!J15:O15,0),2))),(IF(D26="",0,INDEX(Grades!R17:T22,MATCH(D26,Grades!J16:O16,0),2)))),0),IF(B7="SIGNALIZED INTERSECTIONS",ROUND(AVERAGE(IF(D20="",0,INDEX(Grades!R17:T22,MATCH(D20,Grades!J35:O35,0),2)),(IF(D22="",0,INDEX(Grades!R17:T22,MATCH(D22,Grades!J36:O36),2))),(IF(D24="",0,INDEX(Grades!R17:T22,MATCH(D24,Grades!J37:O37,0),2))),(IF(D26="",0,INDEX(Grades!R17:T22,MATCH(D26,Grades!J38:O38,0),2)))),0),ROUND(AVERAGE(IF(D20="",0,INDEX(Grades!R17:T22,MATCH(D20,Grades!J57:O57,0),2)),(IF(D22="",0,INDEX(Grades!R17:T22,MATCH(D22,Grades!J58:O58),2))),(IF(D24="",0,INDEX(Grades!R17:T22,MATCH(D24,Grades!J59:O59,0),2))),(IF(D26="",0,INDEX(Grades!R17:T22,MATCH(D26,Grades!J60:O60,0),2)))),0))),Grades!S17:T22,2,FALSE),"")</f>
        <v/>
      </c>
      <c r="E11" s="60" t="str">
        <f>_xlfn.IFNA(VLOOKUP(IF(B7="UNSIGNALIZED INTERSECTIONS",ROUND(AVERAGE(IF(E20="",0,INDEX(Grades!R17:T22,MATCH(E20,Grades!J17:O17,0),2)),(IF(E22="",0,INDEX(Grades!R17:T22,MATCH(E22,Grades!J18:O18),2))),(IF(E24="",0,INDEX(Grades!R17:T22,MATCH(E24,Grades!J19:O19,0),2))),(IF(E26="",0,INDEX(Grades!R17:T22,MATCH(E26,Grades!J20:O20,0),2)))),0),IF(B7="SIGNALIZED INTERSECTIONS",ROUND(AVERAGE(IF(E20="",0,INDEX(Grades!R17:T22,MATCH(E20,Grades!J39:O39,0),2)),(IF(E22="",0,INDEX(Grades!R17:T22,MATCH(E22,Grades!J40:O40),2))),(IF(E24="",0,INDEX(Grades!R17:T22,MATCH(E24,Grades!J41:O41,0),2))),(IF(E26="",0,INDEX(Grades!R17:T22,MATCH(E26,Grades!J42:O42,0),2)))),0),ROUND(AVERAGE(IF(E20="",0,INDEX(Grades!R17:T22,MATCH(E20,Grades!J61:O61,0),2)),(IF(E22="",0,INDEX(Grades!R17:T22,MATCH(E22,Grades!J62:O62),2))),(IF(E24="",0,INDEX(Grades!R17:T22,MATCH(E24,Grades!J63:O63,0),2))),(IF(E26="",0,INDEX(Grades!R17:T22,MATCH(E26,Grades!J64:O64,0),2)))),0))),Grades!S17:T22,2,FALSE),"")</f>
        <v/>
      </c>
      <c r="F11" s="61" t="str">
        <f>_xlfn.IFNA(VLOOKUP(IF(B7="UNSIGNALIZED INTERSECTIONS",ROUND(AVERAGE(IF(F20="",0,INDEX(Grades!R17:T22,MATCH(F20,Grades!J21:O21,0),2)),(IF(F22="",0,INDEX(Grades!R17:T22,MATCH(F22,Grades!J22:O22),2))),(IF(F24="",0,INDEX(Grades!R17:T22,MATCH(F24,Grades!J23:O23,0),2))),(IF(F26="",0,INDEX(Grades!R17:T22,MATCH(F26,Grades!J24:O24,0),2)))),0),IF(B7="SIGNALIZED INTERSECTIONS",ROUND(AVERAGE(IF(F20="",0,INDEX(Grades!R17:T22,MATCH(F20,Grades!J43:O43,0),2)),(IF(F22="",0,INDEX(Grades!R17:T22,MATCH(F22,Grades!J44:O44),2))),(IF(F24="",0,INDEX(Grades!R17:T22,MATCH(F24,Grades!J45:O45,0),2))),(IF(F26="",0,INDEX(Grades!R17:T22,MATCH(F26,Grades!J46:O46,0),2)))),0),ROUND(AVERAGE(IF(F20="",0,INDEX(Grades!R17:T22,MATCH(F20,Grades!J65:O65,0),2)),(IF(F22="",0,INDEX(Grades!R17:T22,MATCH(F22,Grades!J66:O66),2))),(IF(F24="",0,INDEX(Grades!R17:T22,MATCH(F24,Grades!J67:O67,0),2))),(IF(F26="",0,INDEX(Grades!R17:T22,MATCH(F26,Grades!J68:O68,0),2)))),0))),Grades!S17:T22,2,FALSE),"")</f>
        <v/>
      </c>
    </row>
    <row r="12" spans="1:12" ht="19.2" thickTop="1" thickBot="1" x14ac:dyDescent="0.35">
      <c r="A12" s="260"/>
      <c r="B12" s="259"/>
      <c r="C12" s="259"/>
      <c r="D12" s="259"/>
      <c r="E12" s="259"/>
      <c r="F12" s="259"/>
    </row>
    <row r="13" spans="1:12" ht="19.2" thickTop="1" thickBot="1" x14ac:dyDescent="0.35">
      <c r="A13" s="260" t="s">
        <v>185</v>
      </c>
      <c r="B13" s="259"/>
      <c r="C13" s="259"/>
      <c r="D13" s="259"/>
      <c r="E13" s="259"/>
      <c r="F13" s="259"/>
    </row>
    <row r="14" spans="1:12" ht="19.2" thickTop="1" thickBot="1" x14ac:dyDescent="0.35">
      <c r="A14" s="260" t="s">
        <v>238</v>
      </c>
      <c r="B14" s="259"/>
      <c r="C14" s="259"/>
      <c r="D14" s="259"/>
      <c r="E14" s="259"/>
      <c r="F14" s="259"/>
    </row>
    <row r="15" spans="1:12" ht="19.2" thickTop="1" thickBot="1" x14ac:dyDescent="0.35">
      <c r="A15" s="260" t="s">
        <v>239</v>
      </c>
      <c r="B15" s="259"/>
      <c r="C15" s="259"/>
      <c r="D15" s="259"/>
      <c r="E15" s="259"/>
      <c r="F15" s="259"/>
    </row>
    <row r="16" spans="1:12" ht="24.6" hidden="1" thickTop="1" thickBot="1" x14ac:dyDescent="0.35">
      <c r="A16" s="413" t="s">
        <v>81</v>
      </c>
      <c r="B16" s="413"/>
      <c r="C16" s="413"/>
      <c r="D16" s="413"/>
      <c r="E16" s="413"/>
      <c r="F16" s="413"/>
    </row>
    <row r="17" spans="1:6" ht="15.45" hidden="1" customHeight="1" x14ac:dyDescent="0.3">
      <c r="A17" s="59" t="s">
        <v>15</v>
      </c>
      <c r="B17" s="60" t="e">
        <f>VLOOKUP(B$1&amp;"."&amp;#REF!,Targets,INDEX(Targets!$D$1:$H$1,MATCH(#REF!,Targets!#REF!,0)),FALSE)</f>
        <v>#REF!</v>
      </c>
      <c r="C17" s="60" t="e">
        <f>VLOOKUP(C$1&amp;"."&amp;#REF!,Targets,INDEX(Targets!$D$1:$H$1,MATCH(#REF!,Targets!#REF!,0)),FALSE)</f>
        <v>#REF!</v>
      </c>
      <c r="D17" s="60" t="e">
        <f>VLOOKUP(D$1&amp;"."&amp;#REF!,Targets,INDEX(Targets!$D$1:$H$1,MATCH(#REF!,Targets!#REF!,0)),FALSE)</f>
        <v>#REF!</v>
      </c>
      <c r="E17" s="60" t="e">
        <f>VLOOKUP(E$1&amp;"."&amp;#REF!,Targets,INDEX(Targets!$D$1:$H$1,MATCH(#REF!,Targets!#REF!,0)),FALSE)</f>
        <v>#REF!</v>
      </c>
      <c r="F17" s="61" t="e">
        <f>VLOOKUP(F$1&amp;"."&amp;#REF!,Targets,INDEX(Targets!$D$1:$H$1,MATCH(#REF!,Targets!#REF!,0)),FALSE)</f>
        <v>#REF!</v>
      </c>
    </row>
    <row r="18" spans="1:6" ht="25.5" hidden="1" customHeight="1" thickBot="1" x14ac:dyDescent="0.35">
      <c r="A18" s="62" t="s">
        <v>14</v>
      </c>
      <c r="B18" s="63">
        <f>I18</f>
        <v>0</v>
      </c>
      <c r="C18" s="64">
        <f>J18</f>
        <v>0</v>
      </c>
      <c r="D18" s="64">
        <f>K18</f>
        <v>0</v>
      </c>
      <c r="E18" s="64">
        <f>L18</f>
        <v>0</v>
      </c>
      <c r="F18" s="65">
        <f>M18</f>
        <v>0</v>
      </c>
    </row>
    <row r="19" spans="1:6" ht="28.2" thickTop="1" x14ac:dyDescent="0.3">
      <c r="A19" s="414" t="s">
        <v>228</v>
      </c>
      <c r="B19" s="239" t="str">
        <f>IF(B7="SIGNALIZED INTERSECTIONS",Grades!G27,IF(B7="UNSIGNALIZED INTERSECTIONS",Grades!G5,Grades!G49))</f>
        <v>Pedestrian Facility Width (m)</v>
      </c>
      <c r="C19" s="239" t="str">
        <f>IF(B7="UNSIGNALIZED INTERSECTIONS",Grades!G9,IF(B7="SIGNALIZED INTERSECTIONS",Grades!G31,Grades!G53))</f>
        <v>Bike Facility Width per Direction (m)</v>
      </c>
      <c r="D19" s="239" t="str">
        <f>IF($B$7="UNSIGNALIZED INTERSECTIONS",Grades!G13,IF($B$7="SIGNALIZED INTERSECTIONS",Grades!$G$35,Grades!$G$57))</f>
        <v>Transit Facility Type</v>
      </c>
      <c r="E19" s="239" t="str">
        <f>IF($B$7="UNSIGNALIZED INTERSECTIONS",Grades!G17,IF($B$7="SIGNALIZED INTERSECTIONS",Grades!$G$39,Grades!$G$61))</f>
        <v>Width of Curb Lane (m)</v>
      </c>
      <c r="F19" s="239" t="str">
        <f>IF($B$7="UNSIGNALIZED INTERSECTIONS",Grades!G21,IF($B$7="SIGNALIZED INTERSECTIONS",Grades!$G$43,Grades!$G$65))</f>
        <v>Mid-block V/C Ratio</v>
      </c>
    </row>
    <row r="20" spans="1:6" ht="18.600000000000001" thickBot="1" x14ac:dyDescent="0.35">
      <c r="A20" s="412"/>
      <c r="B20" s="240"/>
      <c r="C20" s="240"/>
      <c r="D20" s="240"/>
      <c r="E20" s="240"/>
      <c r="F20" s="240"/>
    </row>
    <row r="21" spans="1:6" x14ac:dyDescent="0.3">
      <c r="A21" s="412" t="s">
        <v>229</v>
      </c>
      <c r="B21" s="239" t="str">
        <f>IF(B7="SIGNALIZED INTERSECTIONS",Grades!G28,IF(B7="UNSIGNALIZED INTERSECTIONS",Grades!G6,Grades!G50))</f>
        <v>Pedestrian Buffer Width (m)</v>
      </c>
      <c r="C21" s="239" t="str">
        <f>IF(B7="SIGNALIZED INTERSECTIONS",Grades!G32,IF(B7="UNSIGNALIZED INTERSECTIONS",Grades!G10,Grades!G54))</f>
        <v>Bike Buffer Width (m)</v>
      </c>
      <c r="D21" s="239" t="str">
        <f>IF($B$7="UNSIGNALIZED INTERSECTIONS",Grades!G14,IF($B$7="SIGNALIZED INTERSECTIONS",Grades!$G$36,Grades!$G$58))</f>
        <v>Transit Passenger Amenities</v>
      </c>
      <c r="E21" s="239" t="str">
        <f>IF($B$7="UNSIGNALIZED INTERSECTIONS",Grades!G18,IF($B$7="SIGNALIZED INTERSECTIONS",Grades!$G$40,Grades!$G$62))</f>
        <v>Car Level of Service</v>
      </c>
      <c r="F21" s="239" t="str">
        <f>IF($B$7="UNSIGNALIZED INTERSECTIONS",Grades!G22,IF($B$7="SIGNALIZED INTERSECTIONS",Grades!$G$44,Grades!$G$66))</f>
        <v>Curb Lane Conflicts</v>
      </c>
    </row>
    <row r="22" spans="1:6" ht="18.600000000000001" thickBot="1" x14ac:dyDescent="0.35">
      <c r="A22" s="412"/>
      <c r="B22" s="240"/>
      <c r="C22" s="240"/>
      <c r="D22" s="240"/>
      <c r="E22" s="240"/>
      <c r="F22" s="240"/>
    </row>
    <row r="23" spans="1:6" ht="27.6" x14ac:dyDescent="0.3">
      <c r="A23" s="412" t="s">
        <v>230</v>
      </c>
      <c r="B23" s="239" t="str">
        <f>IF(B7="SIGNALIZED INTERSECTIONS",Grades!G29,IF(B7="UNSIGNALIZED INTERSECTIONS",Grades!G7,Grades!G51))</f>
        <v>Max Distance Between Controlled Crossings (m)</v>
      </c>
      <c r="C23" s="239" t="str">
        <f>IF(B7="SIGNALIZED INTERSECTIONS",Grades!G33,IF(B7="UNSIGNALIZED INTERSECTIONS",Grades!G11,Grades!G55))</f>
        <v>Conflicts with Other Modes 
(in-lane conflicts and cross point conflicts)</v>
      </c>
      <c r="D23" s="239" t="str">
        <f>IF($B$7="UNSIGNALIZED INTERSECTIONS",Grades!G15,IF($B$7="SIGNALIZED INTERSECTIONS",Grades!$G$37,Grades!$G$59))</f>
        <v>Pedestrian Level of Service</v>
      </c>
      <c r="E23" s="239" t="str">
        <f>IF($B$7="UNSIGNALIZED INTERSECTIONS",Grades!G19,IF($B$7="SIGNALIZED INTERSECTIONS",Grades!$G$41,Grades!$G$63))</f>
        <v>-</v>
      </c>
      <c r="F23" s="239" t="str">
        <f>IF($B$7="UNSIGNALIZED INTERSECTIONS",Grades!G23,IF($B$7="SIGNALIZED INTERSECTIONS",Grades!$G$45,Grades!$G$67))</f>
        <v>-</v>
      </c>
    </row>
    <row r="24" spans="1:6" ht="18.600000000000001" thickBot="1" x14ac:dyDescent="0.35">
      <c r="A24" s="412"/>
      <c r="B24" s="241"/>
      <c r="C24" s="241"/>
      <c r="D24" s="241"/>
      <c r="E24" s="241"/>
      <c r="F24" s="241"/>
    </row>
    <row r="25" spans="1:6" x14ac:dyDescent="0.3">
      <c r="A25" s="412" t="s">
        <v>231</v>
      </c>
      <c r="B25" s="239" t="str">
        <f>IF(B7="SIGNALIZED INTERSECTIONS",Grades!G30,IF(B7="UNSIGNALIZED INTERSECTIONS","",""))</f>
        <v/>
      </c>
      <c r="C25" s="239" t="str">
        <f>IF(B7="SIGNALIZED INTERSECTIONS",Grades!G34,IF(B7="UNSIGNALIZED INTERSECTIONS",Grades!G12,Grades!G56))</f>
        <v>-</v>
      </c>
      <c r="D25" s="239" t="str">
        <f>IF($B$7="UNSIGNALIZED INTERSECTIONS",Grades!G16,IF($B$7="SIGNALIZED INTERSECTIONS",Grades!$G$38,Grades!$G$60))</f>
        <v>-</v>
      </c>
      <c r="E25" s="239" t="str">
        <f>IF($B$7="UNSIGNALIZED INTERSECTIONS",Grades!G20,IF($B$7="SIGNALIZED INTERSECTIONS",Grades!$G$42,Grades!$G$64))</f>
        <v>-</v>
      </c>
      <c r="F25" s="239" t="str">
        <f>IF($B$7="UNSIGNALIZED INTERSECTIONS",Grades!G24,IF($B$7="SIGNALIZED INTERSECTIONS",Grades!$G$46,Grades!$G$68))</f>
        <v>-</v>
      </c>
    </row>
    <row r="26" spans="1:6" ht="18" x14ac:dyDescent="0.3">
      <c r="A26" s="412"/>
      <c r="B26" s="241"/>
      <c r="C26" s="241"/>
      <c r="D26" s="241"/>
      <c r="E26" s="241"/>
      <c r="F26" s="241"/>
    </row>
  </sheetData>
  <mergeCells count="9">
    <mergeCell ref="A21:A22"/>
    <mergeCell ref="A23:A24"/>
    <mergeCell ref="A25:A26"/>
    <mergeCell ref="B3:F3"/>
    <mergeCell ref="B4:F4"/>
    <mergeCell ref="A6:F6"/>
    <mergeCell ref="B7:F7"/>
    <mergeCell ref="A16:F16"/>
    <mergeCell ref="A19:A20"/>
  </mergeCells>
  <conditionalFormatting sqref="A5:F5 A4:B4 A2:F2 B1:F1 A8:A15">
    <cfRule type="cellIs" dxfId="582" priority="335" operator="equal">
      <formula>"F"</formula>
    </cfRule>
    <cfRule type="cellIs" dxfId="581" priority="336" operator="equal">
      <formula>"E"</formula>
    </cfRule>
    <cfRule type="cellIs" dxfId="580" priority="337" operator="equal">
      <formula>"D"</formula>
    </cfRule>
    <cfRule type="cellIs" dxfId="579" priority="338" operator="equal">
      <formula>"C"</formula>
    </cfRule>
    <cfRule type="cellIs" dxfId="578" priority="339" operator="equal">
      <formula>"B"</formula>
    </cfRule>
    <cfRule type="cellIs" dxfId="577" priority="340" operator="equal">
      <formula>"A"</formula>
    </cfRule>
  </conditionalFormatting>
  <conditionalFormatting sqref="A3">
    <cfRule type="cellIs" dxfId="576" priority="329" operator="equal">
      <formula>"F"</formula>
    </cfRule>
    <cfRule type="cellIs" dxfId="575" priority="330" operator="equal">
      <formula>"E"</formula>
    </cfRule>
    <cfRule type="cellIs" dxfId="574" priority="331" operator="equal">
      <formula>"D"</formula>
    </cfRule>
    <cfRule type="cellIs" dxfId="573" priority="332" operator="equal">
      <formula>"C"</formula>
    </cfRule>
    <cfRule type="cellIs" dxfId="572" priority="333" operator="equal">
      <formula>"B"</formula>
    </cfRule>
    <cfRule type="cellIs" dxfId="571" priority="334" operator="equal">
      <formula>"A"</formula>
    </cfRule>
  </conditionalFormatting>
  <conditionalFormatting sqref="B3">
    <cfRule type="cellIs" dxfId="570" priority="323" operator="equal">
      <formula>"F"</formula>
    </cfRule>
    <cfRule type="cellIs" dxfId="569" priority="324" operator="equal">
      <formula>"E"</formula>
    </cfRule>
    <cfRule type="cellIs" dxfId="568" priority="325" operator="equal">
      <formula>"D"</formula>
    </cfRule>
    <cfRule type="cellIs" dxfId="567" priority="326" operator="equal">
      <formula>"C"</formula>
    </cfRule>
    <cfRule type="cellIs" dxfId="566" priority="327" operator="equal">
      <formula>"B"</formula>
    </cfRule>
    <cfRule type="cellIs" dxfId="565" priority="328" operator="equal">
      <formula>"A"</formula>
    </cfRule>
  </conditionalFormatting>
  <conditionalFormatting sqref="A6:A7">
    <cfRule type="cellIs" dxfId="564" priority="317" operator="equal">
      <formula>"F"</formula>
    </cfRule>
    <cfRule type="cellIs" dxfId="563" priority="318" operator="equal">
      <formula>"E"</formula>
    </cfRule>
    <cfRule type="cellIs" dxfId="562" priority="319" operator="equal">
      <formula>"D"</formula>
    </cfRule>
    <cfRule type="cellIs" dxfId="561" priority="320" operator="equal">
      <formula>"C"</formula>
    </cfRule>
    <cfRule type="cellIs" dxfId="560" priority="321" operator="equal">
      <formula>"B"</formula>
    </cfRule>
    <cfRule type="cellIs" dxfId="559" priority="322" operator="equal">
      <formula>"A"</formula>
    </cfRule>
  </conditionalFormatting>
  <conditionalFormatting sqref="A17:F18 B20 B22 B24">
    <cfRule type="cellIs" dxfId="558" priority="311" operator="equal">
      <formula>"F"</formula>
    </cfRule>
    <cfRule type="cellIs" dxfId="557" priority="312" operator="equal">
      <formula>"E"</formula>
    </cfRule>
    <cfRule type="cellIs" dxfId="556" priority="313" operator="equal">
      <formula>"D"</formula>
    </cfRule>
    <cfRule type="cellIs" dxfId="555" priority="314" operator="equal">
      <formula>"C"</formula>
    </cfRule>
    <cfRule type="cellIs" dxfId="554" priority="315" operator="equal">
      <formula>"B"</formula>
    </cfRule>
    <cfRule type="cellIs" dxfId="553" priority="316" operator="equal">
      <formula>"A"</formula>
    </cfRule>
  </conditionalFormatting>
  <conditionalFormatting sqref="B20 B22 B24">
    <cfRule type="expression" dxfId="552" priority="305">
      <formula>I20="F"</formula>
    </cfRule>
    <cfRule type="expression" dxfId="551" priority="306">
      <formula>I20="E"</formula>
    </cfRule>
    <cfRule type="expression" dxfId="550" priority="307">
      <formula>I20="D"</formula>
    </cfRule>
    <cfRule type="expression" dxfId="549" priority="308">
      <formula>I20="C"</formula>
    </cfRule>
    <cfRule type="expression" dxfId="548" priority="309">
      <formula>I20="B"</formula>
    </cfRule>
    <cfRule type="expression" dxfId="547" priority="310">
      <formula>I20="A"</formula>
    </cfRule>
  </conditionalFormatting>
  <conditionalFormatting sqref="A16">
    <cfRule type="cellIs" dxfId="546" priority="299" operator="equal">
      <formula>"F"</formula>
    </cfRule>
    <cfRule type="cellIs" dxfId="545" priority="300" operator="equal">
      <formula>"E"</formula>
    </cfRule>
    <cfRule type="cellIs" dxfId="544" priority="301" operator="equal">
      <formula>"D"</formula>
    </cfRule>
    <cfRule type="cellIs" dxfId="543" priority="302" operator="equal">
      <formula>"C"</formula>
    </cfRule>
    <cfRule type="cellIs" dxfId="542" priority="303" operator="equal">
      <formula>"B"</formula>
    </cfRule>
    <cfRule type="cellIs" dxfId="541" priority="304" operator="equal">
      <formula>"A"</formula>
    </cfRule>
  </conditionalFormatting>
  <conditionalFormatting sqref="A1">
    <cfRule type="cellIs" dxfId="540" priority="293" operator="equal">
      <formula>"F"</formula>
    </cfRule>
    <cfRule type="cellIs" dxfId="539" priority="294" operator="equal">
      <formula>"E"</formula>
    </cfRule>
    <cfRule type="cellIs" dxfId="538" priority="295" operator="equal">
      <formula>"D"</formula>
    </cfRule>
    <cfRule type="cellIs" dxfId="537" priority="296" operator="equal">
      <formula>"C"</formula>
    </cfRule>
    <cfRule type="cellIs" dxfId="536" priority="297" operator="equal">
      <formula>"B"</formula>
    </cfRule>
    <cfRule type="cellIs" dxfId="535" priority="298" operator="equal">
      <formula>"A"</formula>
    </cfRule>
  </conditionalFormatting>
  <conditionalFormatting sqref="B19">
    <cfRule type="cellIs" dxfId="534" priority="287" operator="equal">
      <formula>"F"</formula>
    </cfRule>
    <cfRule type="cellIs" dxfId="533" priority="288" operator="equal">
      <formula>"E"</formula>
    </cfRule>
    <cfRule type="cellIs" dxfId="532" priority="289" operator="equal">
      <formula>"D"</formula>
    </cfRule>
    <cfRule type="cellIs" dxfId="531" priority="290" operator="equal">
      <formula>"C"</formula>
    </cfRule>
    <cfRule type="cellIs" dxfId="530" priority="291" operator="equal">
      <formula>"B"</formula>
    </cfRule>
    <cfRule type="cellIs" dxfId="529" priority="292" operator="equal">
      <formula>"A"</formula>
    </cfRule>
  </conditionalFormatting>
  <conditionalFormatting sqref="B19">
    <cfRule type="expression" dxfId="528" priority="281">
      <formula>I19="F"</formula>
    </cfRule>
    <cfRule type="expression" dxfId="527" priority="282">
      <formula>I19="E"</formula>
    </cfRule>
    <cfRule type="expression" dxfId="526" priority="283">
      <formula>I19="D"</formula>
    </cfRule>
    <cfRule type="expression" dxfId="525" priority="284">
      <formula>I19="C"</formula>
    </cfRule>
    <cfRule type="expression" dxfId="524" priority="285">
      <formula>I19="B"</formula>
    </cfRule>
    <cfRule type="expression" dxfId="523" priority="286">
      <formula>I19="A"</formula>
    </cfRule>
  </conditionalFormatting>
  <conditionalFormatting sqref="B21">
    <cfRule type="cellIs" dxfId="522" priority="275" operator="equal">
      <formula>"F"</formula>
    </cfRule>
    <cfRule type="cellIs" dxfId="521" priority="276" operator="equal">
      <formula>"E"</formula>
    </cfRule>
    <cfRule type="cellIs" dxfId="520" priority="277" operator="equal">
      <formula>"D"</formula>
    </cfRule>
    <cfRule type="cellIs" dxfId="519" priority="278" operator="equal">
      <formula>"C"</formula>
    </cfRule>
    <cfRule type="cellIs" dxfId="518" priority="279" operator="equal">
      <formula>"B"</formula>
    </cfRule>
    <cfRule type="cellIs" dxfId="517" priority="280" operator="equal">
      <formula>"A"</formula>
    </cfRule>
  </conditionalFormatting>
  <conditionalFormatting sqref="B21">
    <cfRule type="expression" dxfId="516" priority="269">
      <formula>I21="F"</formula>
    </cfRule>
    <cfRule type="expression" dxfId="515" priority="270">
      <formula>I21="E"</formula>
    </cfRule>
    <cfRule type="expression" dxfId="514" priority="271">
      <formula>I21="D"</formula>
    </cfRule>
    <cfRule type="expression" dxfId="513" priority="272">
      <formula>I21="C"</formula>
    </cfRule>
    <cfRule type="expression" dxfId="512" priority="273">
      <formula>I21="B"</formula>
    </cfRule>
    <cfRule type="expression" dxfId="511" priority="274">
      <formula>I21="A"</formula>
    </cfRule>
  </conditionalFormatting>
  <conditionalFormatting sqref="B23">
    <cfRule type="cellIs" dxfId="510" priority="263" operator="equal">
      <formula>"F"</formula>
    </cfRule>
    <cfRule type="cellIs" dxfId="509" priority="264" operator="equal">
      <formula>"E"</formula>
    </cfRule>
    <cfRule type="cellIs" dxfId="508" priority="265" operator="equal">
      <formula>"D"</formula>
    </cfRule>
    <cfRule type="cellIs" dxfId="507" priority="266" operator="equal">
      <formula>"C"</formula>
    </cfRule>
    <cfRule type="cellIs" dxfId="506" priority="267" operator="equal">
      <formula>"B"</formula>
    </cfRule>
    <cfRule type="cellIs" dxfId="505" priority="268" operator="equal">
      <formula>"A"</formula>
    </cfRule>
  </conditionalFormatting>
  <conditionalFormatting sqref="B23">
    <cfRule type="expression" dxfId="504" priority="257">
      <formula>I23="F"</formula>
    </cfRule>
    <cfRule type="expression" dxfId="503" priority="258">
      <formula>I23="E"</formula>
    </cfRule>
    <cfRule type="expression" dxfId="502" priority="259">
      <formula>I23="D"</formula>
    </cfRule>
    <cfRule type="expression" dxfId="501" priority="260">
      <formula>I23="C"</formula>
    </cfRule>
    <cfRule type="expression" dxfId="500" priority="261">
      <formula>I23="B"</formula>
    </cfRule>
    <cfRule type="expression" dxfId="499" priority="262">
      <formula>I23="A"</formula>
    </cfRule>
  </conditionalFormatting>
  <conditionalFormatting sqref="B17:B24 D22:F22 D24:F24">
    <cfRule type="expression" dxfId="498" priority="255">
      <formula>OR(($B$13="No"),($B$14="No"))</formula>
    </cfRule>
  </conditionalFormatting>
  <conditionalFormatting sqref="B25">
    <cfRule type="cellIs" dxfId="497" priority="249" operator="equal">
      <formula>"F"</formula>
    </cfRule>
    <cfRule type="cellIs" dxfId="496" priority="250" operator="equal">
      <formula>"E"</formula>
    </cfRule>
    <cfRule type="cellIs" dxfId="495" priority="251" operator="equal">
      <formula>"D"</formula>
    </cfRule>
    <cfRule type="cellIs" dxfId="494" priority="252" operator="equal">
      <formula>"C"</formula>
    </cfRule>
    <cfRule type="cellIs" dxfId="493" priority="253" operator="equal">
      <formula>"B"</formula>
    </cfRule>
    <cfRule type="cellIs" dxfId="492" priority="254" operator="equal">
      <formula>"A"</formula>
    </cfRule>
  </conditionalFormatting>
  <conditionalFormatting sqref="B25">
    <cfRule type="expression" dxfId="491" priority="243">
      <formula>I25="F"</formula>
    </cfRule>
    <cfRule type="expression" dxfId="490" priority="244">
      <formula>I25="E"</formula>
    </cfRule>
    <cfRule type="expression" dxfId="489" priority="245">
      <formula>I25="D"</formula>
    </cfRule>
    <cfRule type="expression" dxfId="488" priority="246">
      <formula>I25="C"</formula>
    </cfRule>
    <cfRule type="expression" dxfId="487" priority="247">
      <formula>I25="B"</formula>
    </cfRule>
    <cfRule type="expression" dxfId="486" priority="248">
      <formula>I25="A"</formula>
    </cfRule>
  </conditionalFormatting>
  <conditionalFormatting sqref="B25">
    <cfRule type="expression" dxfId="485" priority="242">
      <formula>OR(($B$13="No"),($B$14="No"))</formula>
    </cfRule>
  </conditionalFormatting>
  <conditionalFormatting sqref="B26">
    <cfRule type="cellIs" dxfId="484" priority="236" operator="equal">
      <formula>"F"</formula>
    </cfRule>
    <cfRule type="cellIs" dxfId="483" priority="237" operator="equal">
      <formula>"E"</formula>
    </cfRule>
    <cfRule type="cellIs" dxfId="482" priority="238" operator="equal">
      <formula>"D"</formula>
    </cfRule>
    <cfRule type="cellIs" dxfId="481" priority="239" operator="equal">
      <formula>"C"</formula>
    </cfRule>
    <cfRule type="cellIs" dxfId="480" priority="240" operator="equal">
      <formula>"B"</formula>
    </cfRule>
    <cfRule type="cellIs" dxfId="479" priority="241" operator="equal">
      <formula>"A"</formula>
    </cfRule>
  </conditionalFormatting>
  <conditionalFormatting sqref="B26">
    <cfRule type="expression" dxfId="478" priority="230">
      <formula>I26="F"</formula>
    </cfRule>
    <cfRule type="expression" dxfId="477" priority="231">
      <formula>I26="E"</formula>
    </cfRule>
    <cfRule type="expression" dxfId="476" priority="232">
      <formula>I26="D"</formula>
    </cfRule>
    <cfRule type="expression" dxfId="475" priority="233">
      <formula>I26="C"</formula>
    </cfRule>
    <cfRule type="expression" dxfId="474" priority="234">
      <formula>I26="B"</formula>
    </cfRule>
    <cfRule type="expression" dxfId="473" priority="235">
      <formula>I26="A"</formula>
    </cfRule>
  </conditionalFormatting>
  <conditionalFormatting sqref="B19:F26">
    <cfRule type="expression" dxfId="472" priority="228">
      <formula>OR(OR((B$13="No"),(B$14="No")),B$15="No")</formula>
    </cfRule>
  </conditionalFormatting>
  <conditionalFormatting sqref="C20 C22 C24">
    <cfRule type="cellIs" dxfId="471" priority="222" operator="equal">
      <formula>"F"</formula>
    </cfRule>
    <cfRule type="cellIs" dxfId="470" priority="223" operator="equal">
      <formula>"E"</formula>
    </cfRule>
    <cfRule type="cellIs" dxfId="469" priority="224" operator="equal">
      <formula>"D"</formula>
    </cfRule>
    <cfRule type="cellIs" dxfId="468" priority="225" operator="equal">
      <formula>"C"</formula>
    </cfRule>
    <cfRule type="cellIs" dxfId="467" priority="226" operator="equal">
      <formula>"B"</formula>
    </cfRule>
    <cfRule type="cellIs" dxfId="466" priority="227" operator="equal">
      <formula>"A"</formula>
    </cfRule>
  </conditionalFormatting>
  <conditionalFormatting sqref="C20 C22 C24">
    <cfRule type="expression" dxfId="465" priority="216">
      <formula>J20="F"</formula>
    </cfRule>
    <cfRule type="expression" dxfId="464" priority="217">
      <formula>J20="E"</formula>
    </cfRule>
    <cfRule type="expression" dxfId="463" priority="218">
      <formula>J20="D"</formula>
    </cfRule>
    <cfRule type="expression" dxfId="462" priority="219">
      <formula>J20="C"</formula>
    </cfRule>
    <cfRule type="expression" dxfId="461" priority="220">
      <formula>J20="B"</formula>
    </cfRule>
    <cfRule type="expression" dxfId="460" priority="221">
      <formula>J20="A"</formula>
    </cfRule>
  </conditionalFormatting>
  <conditionalFormatting sqref="C19">
    <cfRule type="cellIs" dxfId="459" priority="210" operator="equal">
      <formula>"F"</formula>
    </cfRule>
    <cfRule type="cellIs" dxfId="458" priority="211" operator="equal">
      <formula>"E"</formula>
    </cfRule>
    <cfRule type="cellIs" dxfId="457" priority="212" operator="equal">
      <formula>"D"</formula>
    </cfRule>
    <cfRule type="cellIs" dxfId="456" priority="213" operator="equal">
      <formula>"C"</formula>
    </cfRule>
    <cfRule type="cellIs" dxfId="455" priority="214" operator="equal">
      <formula>"B"</formula>
    </cfRule>
    <cfRule type="cellIs" dxfId="454" priority="215" operator="equal">
      <formula>"A"</formula>
    </cfRule>
  </conditionalFormatting>
  <conditionalFormatting sqref="C19">
    <cfRule type="expression" dxfId="453" priority="204">
      <formula>J19="F"</formula>
    </cfRule>
    <cfRule type="expression" dxfId="452" priority="205">
      <formula>J19="E"</formula>
    </cfRule>
    <cfRule type="expression" dxfId="451" priority="206">
      <formula>J19="D"</formula>
    </cfRule>
    <cfRule type="expression" dxfId="450" priority="207">
      <formula>J19="C"</formula>
    </cfRule>
    <cfRule type="expression" dxfId="449" priority="208">
      <formula>J19="B"</formula>
    </cfRule>
    <cfRule type="expression" dxfId="448" priority="209">
      <formula>J19="A"</formula>
    </cfRule>
  </conditionalFormatting>
  <conditionalFormatting sqref="C21">
    <cfRule type="cellIs" dxfId="447" priority="198" operator="equal">
      <formula>"F"</formula>
    </cfRule>
    <cfRule type="cellIs" dxfId="446" priority="199" operator="equal">
      <formula>"E"</formula>
    </cfRule>
    <cfRule type="cellIs" dxfId="445" priority="200" operator="equal">
      <formula>"D"</formula>
    </cfRule>
    <cfRule type="cellIs" dxfId="444" priority="201" operator="equal">
      <formula>"C"</formula>
    </cfRule>
    <cfRule type="cellIs" dxfId="443" priority="202" operator="equal">
      <formula>"B"</formula>
    </cfRule>
    <cfRule type="cellIs" dxfId="442" priority="203" operator="equal">
      <formula>"A"</formula>
    </cfRule>
  </conditionalFormatting>
  <conditionalFormatting sqref="C21">
    <cfRule type="expression" dxfId="441" priority="192">
      <formula>J21="F"</formula>
    </cfRule>
    <cfRule type="expression" dxfId="440" priority="193">
      <formula>J21="E"</formula>
    </cfRule>
    <cfRule type="expression" dxfId="439" priority="194">
      <formula>J21="D"</formula>
    </cfRule>
    <cfRule type="expression" dxfId="438" priority="195">
      <formula>J21="C"</formula>
    </cfRule>
    <cfRule type="expression" dxfId="437" priority="196">
      <formula>J21="B"</formula>
    </cfRule>
    <cfRule type="expression" dxfId="436" priority="197">
      <formula>J21="A"</formula>
    </cfRule>
  </conditionalFormatting>
  <conditionalFormatting sqref="C23">
    <cfRule type="cellIs" dxfId="435" priority="186" operator="equal">
      <formula>"F"</formula>
    </cfRule>
    <cfRule type="cellIs" dxfId="434" priority="187" operator="equal">
      <formula>"E"</formula>
    </cfRule>
    <cfRule type="cellIs" dxfId="433" priority="188" operator="equal">
      <formula>"D"</formula>
    </cfRule>
    <cfRule type="cellIs" dxfId="432" priority="189" operator="equal">
      <formula>"C"</formula>
    </cfRule>
    <cfRule type="cellIs" dxfId="431" priority="190" operator="equal">
      <formula>"B"</formula>
    </cfRule>
    <cfRule type="cellIs" dxfId="430" priority="191" operator="equal">
      <formula>"A"</formula>
    </cfRule>
  </conditionalFormatting>
  <conditionalFormatting sqref="C23">
    <cfRule type="expression" dxfId="429" priority="180">
      <formula>J23="F"</formula>
    </cfRule>
    <cfRule type="expression" dxfId="428" priority="181">
      <formula>J23="E"</formula>
    </cfRule>
    <cfRule type="expression" dxfId="427" priority="182">
      <formula>J23="D"</formula>
    </cfRule>
    <cfRule type="expression" dxfId="426" priority="183">
      <formula>J23="C"</formula>
    </cfRule>
    <cfRule type="expression" dxfId="425" priority="184">
      <formula>J23="B"</formula>
    </cfRule>
    <cfRule type="expression" dxfId="424" priority="185">
      <formula>J23="A"</formula>
    </cfRule>
  </conditionalFormatting>
  <conditionalFormatting sqref="C19:C24">
    <cfRule type="expression" dxfId="423" priority="178">
      <formula>OR(($B$13="No"),($B$14="No"))</formula>
    </cfRule>
  </conditionalFormatting>
  <conditionalFormatting sqref="C25">
    <cfRule type="cellIs" dxfId="422" priority="172" operator="equal">
      <formula>"F"</formula>
    </cfRule>
    <cfRule type="cellIs" dxfId="421" priority="173" operator="equal">
      <formula>"E"</formula>
    </cfRule>
    <cfRule type="cellIs" dxfId="420" priority="174" operator="equal">
      <formula>"D"</formula>
    </cfRule>
    <cfRule type="cellIs" dxfId="419" priority="175" operator="equal">
      <formula>"C"</formula>
    </cfRule>
    <cfRule type="cellIs" dxfId="418" priority="176" operator="equal">
      <formula>"B"</formula>
    </cfRule>
    <cfRule type="cellIs" dxfId="417" priority="177" operator="equal">
      <formula>"A"</formula>
    </cfRule>
  </conditionalFormatting>
  <conditionalFormatting sqref="C25">
    <cfRule type="expression" dxfId="416" priority="166">
      <formula>J25="F"</formula>
    </cfRule>
    <cfRule type="expression" dxfId="415" priority="167">
      <formula>J25="E"</formula>
    </cfRule>
    <cfRule type="expression" dxfId="414" priority="168">
      <formula>J25="D"</formula>
    </cfRule>
    <cfRule type="expression" dxfId="413" priority="169">
      <formula>J25="C"</formula>
    </cfRule>
    <cfRule type="expression" dxfId="412" priority="170">
      <formula>J25="B"</formula>
    </cfRule>
    <cfRule type="expression" dxfId="411" priority="171">
      <formula>J25="A"</formula>
    </cfRule>
  </conditionalFormatting>
  <conditionalFormatting sqref="C25">
    <cfRule type="expression" dxfId="410" priority="165">
      <formula>OR(($B$13="No"),($B$14="No"))</formula>
    </cfRule>
  </conditionalFormatting>
  <conditionalFormatting sqref="C26">
    <cfRule type="cellIs" dxfId="409" priority="159" operator="equal">
      <formula>"F"</formula>
    </cfRule>
    <cfRule type="cellIs" dxfId="408" priority="160" operator="equal">
      <formula>"E"</formula>
    </cfRule>
    <cfRule type="cellIs" dxfId="407" priority="161" operator="equal">
      <formula>"D"</formula>
    </cfRule>
    <cfRule type="cellIs" dxfId="406" priority="162" operator="equal">
      <formula>"C"</formula>
    </cfRule>
    <cfRule type="cellIs" dxfId="405" priority="163" operator="equal">
      <formula>"B"</formula>
    </cfRule>
    <cfRule type="cellIs" dxfId="404" priority="164" operator="equal">
      <formula>"A"</formula>
    </cfRule>
  </conditionalFormatting>
  <conditionalFormatting sqref="C26">
    <cfRule type="expression" dxfId="403" priority="153">
      <formula>J26="F"</formula>
    </cfRule>
    <cfRule type="expression" dxfId="402" priority="154">
      <formula>J26="E"</formula>
    </cfRule>
    <cfRule type="expression" dxfId="401" priority="155">
      <formula>J26="D"</formula>
    </cfRule>
    <cfRule type="expression" dxfId="400" priority="156">
      <formula>J26="C"</formula>
    </cfRule>
    <cfRule type="expression" dxfId="399" priority="157">
      <formula>J26="B"</formula>
    </cfRule>
    <cfRule type="expression" dxfId="398" priority="158">
      <formula>J26="A"</formula>
    </cfRule>
  </conditionalFormatting>
  <conditionalFormatting sqref="C26">
    <cfRule type="expression" dxfId="397" priority="151">
      <formula>OR(($B$13="No"),($B$14="No"))</formula>
    </cfRule>
  </conditionalFormatting>
  <conditionalFormatting sqref="D20 D22 D24">
    <cfRule type="cellIs" dxfId="396" priority="145" operator="equal">
      <formula>"F"</formula>
    </cfRule>
    <cfRule type="cellIs" dxfId="395" priority="146" operator="equal">
      <formula>"E"</formula>
    </cfRule>
    <cfRule type="cellIs" dxfId="394" priority="147" operator="equal">
      <formula>"D"</formula>
    </cfRule>
    <cfRule type="cellIs" dxfId="393" priority="148" operator="equal">
      <formula>"C"</formula>
    </cfRule>
    <cfRule type="cellIs" dxfId="392" priority="149" operator="equal">
      <formula>"B"</formula>
    </cfRule>
    <cfRule type="cellIs" dxfId="391" priority="150" operator="equal">
      <formula>"A"</formula>
    </cfRule>
  </conditionalFormatting>
  <conditionalFormatting sqref="D20 D22 D24">
    <cfRule type="expression" dxfId="390" priority="139">
      <formula>K20="F"</formula>
    </cfRule>
    <cfRule type="expression" dxfId="389" priority="140">
      <formula>K20="E"</formula>
    </cfRule>
    <cfRule type="expression" dxfId="388" priority="141">
      <formula>K20="D"</formula>
    </cfRule>
    <cfRule type="expression" dxfId="387" priority="142">
      <formula>K20="C"</formula>
    </cfRule>
    <cfRule type="expression" dxfId="386" priority="143">
      <formula>K20="B"</formula>
    </cfRule>
    <cfRule type="expression" dxfId="385" priority="144">
      <formula>K20="A"</formula>
    </cfRule>
  </conditionalFormatting>
  <conditionalFormatting sqref="E20 E22 E24">
    <cfRule type="cellIs" dxfId="384" priority="117" operator="equal">
      <formula>"F"</formula>
    </cfRule>
    <cfRule type="cellIs" dxfId="383" priority="118" operator="equal">
      <formula>"E"</formula>
    </cfRule>
    <cfRule type="cellIs" dxfId="382" priority="119" operator="equal">
      <formula>"D"</formula>
    </cfRule>
    <cfRule type="cellIs" dxfId="381" priority="120" operator="equal">
      <formula>"C"</formula>
    </cfRule>
    <cfRule type="cellIs" dxfId="380" priority="121" operator="equal">
      <formula>"B"</formula>
    </cfRule>
    <cfRule type="cellIs" dxfId="379" priority="122" operator="equal">
      <formula>"A"</formula>
    </cfRule>
  </conditionalFormatting>
  <conditionalFormatting sqref="E20 E22 E24">
    <cfRule type="expression" dxfId="378" priority="111">
      <formula>L20="F"</formula>
    </cfRule>
    <cfRule type="expression" dxfId="377" priority="112">
      <formula>L20="E"</formula>
    </cfRule>
    <cfRule type="expression" dxfId="376" priority="113">
      <formula>L20="D"</formula>
    </cfRule>
    <cfRule type="expression" dxfId="375" priority="114">
      <formula>L20="C"</formula>
    </cfRule>
    <cfRule type="expression" dxfId="374" priority="115">
      <formula>L20="B"</formula>
    </cfRule>
    <cfRule type="expression" dxfId="373" priority="116">
      <formula>L20="A"</formula>
    </cfRule>
  </conditionalFormatting>
  <conditionalFormatting sqref="D20">
    <cfRule type="expression" dxfId="372" priority="137">
      <formula>OR(($B$13="No"),($B$14="No"))</formula>
    </cfRule>
  </conditionalFormatting>
  <conditionalFormatting sqref="D26">
    <cfRule type="cellIs" dxfId="371" priority="131" operator="equal">
      <formula>"F"</formula>
    </cfRule>
    <cfRule type="cellIs" dxfId="370" priority="132" operator="equal">
      <formula>"E"</formula>
    </cfRule>
    <cfRule type="cellIs" dxfId="369" priority="133" operator="equal">
      <formula>"D"</formula>
    </cfRule>
    <cfRule type="cellIs" dxfId="368" priority="134" operator="equal">
      <formula>"C"</formula>
    </cfRule>
    <cfRule type="cellIs" dxfId="367" priority="135" operator="equal">
      <formula>"B"</formula>
    </cfRule>
    <cfRule type="cellIs" dxfId="366" priority="136" operator="equal">
      <formula>"A"</formula>
    </cfRule>
  </conditionalFormatting>
  <conditionalFormatting sqref="D26">
    <cfRule type="expression" dxfId="365" priority="125">
      <formula>K26="F"</formula>
    </cfRule>
    <cfRule type="expression" dxfId="364" priority="126">
      <formula>K26="E"</formula>
    </cfRule>
    <cfRule type="expression" dxfId="363" priority="127">
      <formula>K26="D"</formula>
    </cfRule>
    <cfRule type="expression" dxfId="362" priority="128">
      <formula>K26="C"</formula>
    </cfRule>
    <cfRule type="expression" dxfId="361" priority="129">
      <formula>K26="B"</formula>
    </cfRule>
    <cfRule type="expression" dxfId="360" priority="130">
      <formula>K26="A"</formula>
    </cfRule>
  </conditionalFormatting>
  <conditionalFormatting sqref="D26">
    <cfRule type="expression" dxfId="359" priority="123">
      <formula>OR(($B$13="No"),($B$14="No"))</formula>
    </cfRule>
  </conditionalFormatting>
  <conditionalFormatting sqref="F20 F22 F24">
    <cfRule type="cellIs" dxfId="358" priority="89" operator="equal">
      <formula>"F"</formula>
    </cfRule>
    <cfRule type="cellIs" dxfId="357" priority="90" operator="equal">
      <formula>"E"</formula>
    </cfRule>
    <cfRule type="cellIs" dxfId="356" priority="91" operator="equal">
      <formula>"D"</formula>
    </cfRule>
    <cfRule type="cellIs" dxfId="355" priority="92" operator="equal">
      <formula>"C"</formula>
    </cfRule>
    <cfRule type="cellIs" dxfId="354" priority="93" operator="equal">
      <formula>"B"</formula>
    </cfRule>
    <cfRule type="cellIs" dxfId="353" priority="94" operator="equal">
      <formula>"A"</formula>
    </cfRule>
  </conditionalFormatting>
  <conditionalFormatting sqref="F20 F22 F24">
    <cfRule type="expression" dxfId="352" priority="83">
      <formula>M20="F"</formula>
    </cfRule>
    <cfRule type="expression" dxfId="351" priority="84">
      <formula>M20="E"</formula>
    </cfRule>
    <cfRule type="expression" dxfId="350" priority="85">
      <formula>M20="D"</formula>
    </cfRule>
    <cfRule type="expression" dxfId="349" priority="86">
      <formula>M20="C"</formula>
    </cfRule>
    <cfRule type="expression" dxfId="348" priority="87">
      <formula>M20="B"</formula>
    </cfRule>
    <cfRule type="expression" dxfId="347" priority="88">
      <formula>M20="A"</formula>
    </cfRule>
  </conditionalFormatting>
  <conditionalFormatting sqref="E20">
    <cfRule type="expression" dxfId="346" priority="109">
      <formula>OR(($B$13="No"),($B$14="No"))</formula>
    </cfRule>
  </conditionalFormatting>
  <conditionalFormatting sqref="E26">
    <cfRule type="cellIs" dxfId="345" priority="103" operator="equal">
      <formula>"F"</formula>
    </cfRule>
    <cfRule type="cellIs" dxfId="344" priority="104" operator="equal">
      <formula>"E"</formula>
    </cfRule>
    <cfRule type="cellIs" dxfId="343" priority="105" operator="equal">
      <formula>"D"</formula>
    </cfRule>
    <cfRule type="cellIs" dxfId="342" priority="106" operator="equal">
      <formula>"C"</formula>
    </cfRule>
    <cfRule type="cellIs" dxfId="341" priority="107" operator="equal">
      <formula>"B"</formula>
    </cfRule>
    <cfRule type="cellIs" dxfId="340" priority="108" operator="equal">
      <formula>"A"</formula>
    </cfRule>
  </conditionalFormatting>
  <conditionalFormatting sqref="E26">
    <cfRule type="expression" dxfId="339" priority="97">
      <formula>L26="F"</formula>
    </cfRule>
    <cfRule type="expression" dxfId="338" priority="98">
      <formula>L26="E"</formula>
    </cfRule>
    <cfRule type="expression" dxfId="337" priority="99">
      <formula>L26="D"</formula>
    </cfRule>
    <cfRule type="expression" dxfId="336" priority="100">
      <formula>L26="C"</formula>
    </cfRule>
    <cfRule type="expression" dxfId="335" priority="101">
      <formula>L26="B"</formula>
    </cfRule>
    <cfRule type="expression" dxfId="334" priority="102">
      <formula>L26="A"</formula>
    </cfRule>
  </conditionalFormatting>
  <conditionalFormatting sqref="E26">
    <cfRule type="expression" dxfId="333" priority="95">
      <formula>OR(($B$13="No"),($B$14="No"))</formula>
    </cfRule>
  </conditionalFormatting>
  <conditionalFormatting sqref="D19">
    <cfRule type="cellIs" dxfId="332" priority="61" operator="equal">
      <formula>"F"</formula>
    </cfRule>
    <cfRule type="cellIs" dxfId="331" priority="62" operator="equal">
      <formula>"E"</formula>
    </cfRule>
    <cfRule type="cellIs" dxfId="330" priority="63" operator="equal">
      <formula>"D"</formula>
    </cfRule>
    <cfRule type="cellIs" dxfId="329" priority="64" operator="equal">
      <formula>"C"</formula>
    </cfRule>
    <cfRule type="cellIs" dxfId="328" priority="65" operator="equal">
      <formula>"B"</formula>
    </cfRule>
    <cfRule type="cellIs" dxfId="327" priority="66" operator="equal">
      <formula>"A"</formula>
    </cfRule>
  </conditionalFormatting>
  <conditionalFormatting sqref="D19">
    <cfRule type="expression" dxfId="326" priority="55">
      <formula>K19="F"</formula>
    </cfRule>
    <cfRule type="expression" dxfId="325" priority="56">
      <formula>K19="E"</formula>
    </cfRule>
    <cfRule type="expression" dxfId="324" priority="57">
      <formula>K19="D"</formula>
    </cfRule>
    <cfRule type="expression" dxfId="323" priority="58">
      <formula>K19="C"</formula>
    </cfRule>
    <cfRule type="expression" dxfId="322" priority="59">
      <formula>K19="B"</formula>
    </cfRule>
    <cfRule type="expression" dxfId="321" priority="60">
      <formula>K19="A"</formula>
    </cfRule>
  </conditionalFormatting>
  <conditionalFormatting sqref="F20">
    <cfRule type="expression" dxfId="320" priority="81">
      <formula>OR(($B$13="No"),($B$14="No"))</formula>
    </cfRule>
  </conditionalFormatting>
  <conditionalFormatting sqref="F26">
    <cfRule type="cellIs" dxfId="319" priority="75" operator="equal">
      <formula>"F"</formula>
    </cfRule>
    <cfRule type="cellIs" dxfId="318" priority="76" operator="equal">
      <formula>"E"</formula>
    </cfRule>
    <cfRule type="cellIs" dxfId="317" priority="77" operator="equal">
      <formula>"D"</formula>
    </cfRule>
    <cfRule type="cellIs" dxfId="316" priority="78" operator="equal">
      <formula>"C"</formula>
    </cfRule>
    <cfRule type="cellIs" dxfId="315" priority="79" operator="equal">
      <formula>"B"</formula>
    </cfRule>
    <cfRule type="cellIs" dxfId="314" priority="80" operator="equal">
      <formula>"A"</formula>
    </cfRule>
  </conditionalFormatting>
  <conditionalFormatting sqref="F26">
    <cfRule type="expression" dxfId="313" priority="69">
      <formula>M26="F"</formula>
    </cfRule>
    <cfRule type="expression" dxfId="312" priority="70">
      <formula>M26="E"</formula>
    </cfRule>
    <cfRule type="expression" dxfId="311" priority="71">
      <formula>M26="D"</formula>
    </cfRule>
    <cfRule type="expression" dxfId="310" priority="72">
      <formula>M26="C"</formula>
    </cfRule>
    <cfRule type="expression" dxfId="309" priority="73">
      <formula>M26="B"</formula>
    </cfRule>
    <cfRule type="expression" dxfId="308" priority="74">
      <formula>M26="A"</formula>
    </cfRule>
  </conditionalFormatting>
  <conditionalFormatting sqref="F26">
    <cfRule type="expression" dxfId="307" priority="67">
      <formula>OR(($B$13="No"),($B$14="No"))</formula>
    </cfRule>
  </conditionalFormatting>
  <conditionalFormatting sqref="D19">
    <cfRule type="expression" dxfId="306" priority="54">
      <formula>OR(($B$13="No"),($B$14="No"))</formula>
    </cfRule>
  </conditionalFormatting>
  <conditionalFormatting sqref="E19:F19">
    <cfRule type="cellIs" dxfId="305" priority="48" operator="equal">
      <formula>"F"</formula>
    </cfRule>
    <cfRule type="cellIs" dxfId="304" priority="49" operator="equal">
      <formula>"E"</formula>
    </cfRule>
    <cfRule type="cellIs" dxfId="303" priority="50" operator="equal">
      <formula>"D"</formula>
    </cfRule>
    <cfRule type="cellIs" dxfId="302" priority="51" operator="equal">
      <formula>"C"</formula>
    </cfRule>
    <cfRule type="cellIs" dxfId="301" priority="52" operator="equal">
      <formula>"B"</formula>
    </cfRule>
    <cfRule type="cellIs" dxfId="300" priority="53" operator="equal">
      <formula>"A"</formula>
    </cfRule>
  </conditionalFormatting>
  <conditionalFormatting sqref="E19:F19">
    <cfRule type="expression" dxfId="299" priority="42">
      <formula>L19="F"</formula>
    </cfRule>
    <cfRule type="expression" dxfId="298" priority="43">
      <formula>L19="E"</formula>
    </cfRule>
    <cfRule type="expression" dxfId="297" priority="44">
      <formula>L19="D"</formula>
    </cfRule>
    <cfRule type="expression" dxfId="296" priority="45">
      <formula>L19="C"</formula>
    </cfRule>
    <cfRule type="expression" dxfId="295" priority="46">
      <formula>L19="B"</formula>
    </cfRule>
    <cfRule type="expression" dxfId="294" priority="47">
      <formula>L19="A"</formula>
    </cfRule>
  </conditionalFormatting>
  <conditionalFormatting sqref="E19:F19">
    <cfRule type="expression" dxfId="293" priority="41">
      <formula>OR(($B$13="No"),($B$14="No"))</formula>
    </cfRule>
  </conditionalFormatting>
  <conditionalFormatting sqref="D21:F21">
    <cfRule type="cellIs" dxfId="292" priority="35" operator="equal">
      <formula>"F"</formula>
    </cfRule>
    <cfRule type="cellIs" dxfId="291" priority="36" operator="equal">
      <formula>"E"</formula>
    </cfRule>
    <cfRule type="cellIs" dxfId="290" priority="37" operator="equal">
      <formula>"D"</formula>
    </cfRule>
    <cfRule type="cellIs" dxfId="289" priority="38" operator="equal">
      <formula>"C"</formula>
    </cfRule>
    <cfRule type="cellIs" dxfId="288" priority="39" operator="equal">
      <formula>"B"</formula>
    </cfRule>
    <cfRule type="cellIs" dxfId="287" priority="40" operator="equal">
      <formula>"A"</formula>
    </cfRule>
  </conditionalFormatting>
  <conditionalFormatting sqref="D21:F21">
    <cfRule type="expression" dxfId="286" priority="29">
      <formula>K21="F"</formula>
    </cfRule>
    <cfRule type="expression" dxfId="285" priority="30">
      <formula>K21="E"</formula>
    </cfRule>
    <cfRule type="expression" dxfId="284" priority="31">
      <formula>K21="D"</formula>
    </cfRule>
    <cfRule type="expression" dxfId="283" priority="32">
      <formula>K21="C"</formula>
    </cfRule>
    <cfRule type="expression" dxfId="282" priority="33">
      <formula>K21="B"</formula>
    </cfRule>
    <cfRule type="expression" dxfId="281" priority="34">
      <formula>K21="A"</formula>
    </cfRule>
  </conditionalFormatting>
  <conditionalFormatting sqref="D21:F21">
    <cfRule type="expression" dxfId="280" priority="28">
      <formula>OR(($B$13="No"),($B$14="No"))</formula>
    </cfRule>
  </conditionalFormatting>
  <conditionalFormatting sqref="D23:F23">
    <cfRule type="cellIs" dxfId="279" priority="22" operator="equal">
      <formula>"F"</formula>
    </cfRule>
    <cfRule type="cellIs" dxfId="278" priority="23" operator="equal">
      <formula>"E"</formula>
    </cfRule>
    <cfRule type="cellIs" dxfId="277" priority="24" operator="equal">
      <formula>"D"</formula>
    </cfRule>
    <cfRule type="cellIs" dxfId="276" priority="25" operator="equal">
      <formula>"C"</formula>
    </cfRule>
    <cfRule type="cellIs" dxfId="275" priority="26" operator="equal">
      <formula>"B"</formula>
    </cfRule>
    <cfRule type="cellIs" dxfId="274" priority="27" operator="equal">
      <formula>"A"</formula>
    </cfRule>
  </conditionalFormatting>
  <conditionalFormatting sqref="D23:F23">
    <cfRule type="expression" dxfId="273" priority="16">
      <formula>K23="F"</formula>
    </cfRule>
    <cfRule type="expression" dxfId="272" priority="17">
      <formula>K23="E"</formula>
    </cfRule>
    <cfRule type="expression" dxfId="271" priority="18">
      <formula>K23="D"</formula>
    </cfRule>
    <cfRule type="expression" dxfId="270" priority="19">
      <formula>K23="C"</formula>
    </cfRule>
    <cfRule type="expression" dxfId="269" priority="20">
      <formula>K23="B"</formula>
    </cfRule>
    <cfRule type="expression" dxfId="268" priority="21">
      <formula>K23="A"</formula>
    </cfRule>
  </conditionalFormatting>
  <conditionalFormatting sqref="D23:F23">
    <cfRule type="expression" dxfId="267" priority="15">
      <formula>OR(($B$13="No"),($B$14="No"))</formula>
    </cfRule>
  </conditionalFormatting>
  <conditionalFormatting sqref="D25:F25">
    <cfRule type="cellIs" dxfId="266" priority="9" operator="equal">
      <formula>"F"</formula>
    </cfRule>
    <cfRule type="cellIs" dxfId="265" priority="10" operator="equal">
      <formula>"E"</formula>
    </cfRule>
    <cfRule type="cellIs" dxfId="264" priority="11" operator="equal">
      <formula>"D"</formula>
    </cfRule>
    <cfRule type="cellIs" dxfId="263" priority="12" operator="equal">
      <formula>"C"</formula>
    </cfRule>
    <cfRule type="cellIs" dxfId="262" priority="13" operator="equal">
      <formula>"B"</formula>
    </cfRule>
    <cfRule type="cellIs" dxfId="261" priority="14" operator="equal">
      <formula>"A"</formula>
    </cfRule>
  </conditionalFormatting>
  <conditionalFormatting sqref="D25:F25">
    <cfRule type="expression" dxfId="260" priority="3">
      <formula>K25="F"</formula>
    </cfRule>
    <cfRule type="expression" dxfId="259" priority="4">
      <formula>K25="E"</formula>
    </cfRule>
    <cfRule type="expression" dxfId="258" priority="5">
      <formula>K25="D"</formula>
    </cfRule>
    <cfRule type="expression" dxfId="257" priority="6">
      <formula>K25="C"</formula>
    </cfRule>
    <cfRule type="expression" dxfId="256" priority="7">
      <formula>K25="B"</formula>
    </cfRule>
    <cfRule type="expression" dxfId="255" priority="8">
      <formula>K25="A"</formula>
    </cfRule>
  </conditionalFormatting>
  <conditionalFormatting sqref="D25:F25">
    <cfRule type="expression" dxfId="254" priority="2">
      <formula>OR(($B$13="No"),($B$14="No"))</formula>
    </cfRule>
  </conditionalFormatting>
  <conditionalFormatting sqref="B10:F10">
    <cfRule type="expression" dxfId="253" priority="1">
      <formula>B9="None"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6" operator="containsText" id="{B5F426DC-9336-483A-980E-9AB0EB732691}">
            <xm:f>NOT(ISERROR(SEARCH($D$30=No,B24)))</xm:f>
            <xm:f>$D$30=No</xm:f>
            <x14:dxf>
              <fill>
                <patternFill>
                  <bgColor theme="1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containsText" priority="229" operator="containsText" id="{394A8AD4-1DCC-41D9-B32F-1E6B271DDB69}">
            <xm:f>NOT(ISERROR(SEARCH($D$30=No,B26)))</xm:f>
            <xm:f>$D$30=No</xm:f>
            <x14:dxf>
              <fill>
                <patternFill>
                  <bgColor theme="1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179" operator="containsText" id="{C767C722-EC2C-4DB9-BB1F-DF5538091810}">
            <xm:f>NOT(ISERROR(SEARCH($D$30=No,C24)))</xm:f>
            <xm:f>$D$30=No</xm:f>
            <x14:dxf>
              <fill>
                <patternFill>
                  <bgColor theme="1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152" operator="containsText" id="{84F0EB34-9CE9-4E1A-A08F-A7BA9C2358C9}">
            <xm:f>NOT(ISERROR(SEARCH($D$30=No,C26)))</xm:f>
            <xm:f>$D$30=No</xm:f>
            <x14:dxf>
              <fill>
                <patternFill>
                  <bgColor theme="1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138" operator="containsText" id="{93136A65-595F-4301-AD88-19B23CBFF491}">
            <xm:f>NOT(ISERROR(SEARCH($D$30=No,D24)))</xm:f>
            <xm:f>$D$30=No</xm:f>
            <x14:dxf>
              <fill>
                <patternFill>
                  <bgColor theme="1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containsText" priority="124" operator="containsText" id="{5D2888A2-25C0-4E68-A6F2-1E2F512EB4A9}">
            <xm:f>NOT(ISERROR(SEARCH($D$30=No,D26)))</xm:f>
            <xm:f>$D$30=No</xm:f>
            <x14:dxf>
              <fill>
                <patternFill>
                  <bgColor theme="1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containsText" priority="110" operator="containsText" id="{FB7EEFE7-0944-424A-B5B9-AFAC1CC62926}">
            <xm:f>NOT(ISERROR(SEARCH($D$30=No,E24)))</xm:f>
            <xm:f>$D$30=No</xm:f>
            <x14:dxf>
              <fill>
                <patternFill>
                  <bgColor theme="1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96" operator="containsText" id="{901B03F6-EB72-4DA6-A862-73468FA8D458}">
            <xm:f>NOT(ISERROR(SEARCH($D$30=No,E26)))</xm:f>
            <xm:f>$D$30=No</xm:f>
            <x14:dxf>
              <fill>
                <patternFill>
                  <bgColor theme="1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containsText" priority="82" operator="containsText" id="{B0C598EE-3DC2-4B4C-9FA8-8C02FF25F541}">
            <xm:f>NOT(ISERROR(SEARCH($D$30=No,F24)))</xm:f>
            <xm:f>$D$30=No</xm:f>
            <x14:dxf>
              <fill>
                <patternFill>
                  <bgColor theme="1"/>
                </patternFill>
              </fill>
            </x14:dxf>
          </x14:cfRule>
          <xm:sqref>F24</xm:sqref>
        </x14:conditionalFormatting>
        <x14:conditionalFormatting xmlns:xm="http://schemas.microsoft.com/office/excel/2006/main">
          <x14:cfRule type="containsText" priority="68" operator="containsText" id="{A4B3FCAA-35F6-4A50-A9CE-29E56B924675}">
            <xm:f>NOT(ISERROR(SEARCH($D$30=No,F26)))</xm:f>
            <xm:f>$D$30=No</xm:f>
            <x14:dxf>
              <fill>
                <patternFill>
                  <bgColor theme="1"/>
                </patternFill>
              </fill>
            </x14:dxf>
          </x14:cfRule>
          <xm:sqref>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IF($B$7="UNSIGNALIZED INTERSECTIONS","",IF($B$7="SIGNALIZED INTERSECTIONS",Grades!$J$34:$O$34,""))</xm:f>
          </x14:formula1>
          <xm:sqref>C26</xm:sqref>
        </x14:dataValidation>
        <x14:dataValidation type="list" allowBlank="1" showInputMessage="1" showErrorMessage="1">
          <x14:formula1>
            <xm:f>Targets!$L$6:$L$8</xm:f>
          </x14:formula1>
          <xm:sqref>B9:F9</xm:sqref>
        </x14:dataValidation>
        <x14:dataValidation type="list" allowBlank="1" showInputMessage="1" showErrorMessage="1">
          <x14:formula1>
            <xm:f>IF($B$7="UNSIGNALIZED INTERSECTIONS",Grades!$I$7:$O$7,IF($B$7="SIGNALIZED INTERSECTIONS",Grades!$I$29:$O$29,Grades!$I$51:$O$51))</xm:f>
          </x14:formula1>
          <xm:sqref>B24</xm:sqref>
        </x14:dataValidation>
        <x14:dataValidation type="list" allowBlank="1" showInputMessage="1" showErrorMessage="1">
          <x14:formula1>
            <xm:f>IF($B$7="UNSIGNALIZED INTERSECTIONS",Grades!$I$24:$O$24,IF($B$7="SIGNALIZED INTERSECTIONS",Grades!$I$46:$O$46,Grades!$I$68:$O$68))</xm:f>
          </x14:formula1>
          <xm:sqref>F26</xm:sqref>
        </x14:dataValidation>
        <x14:dataValidation type="list" allowBlank="1" showInputMessage="1" showErrorMessage="1">
          <x14:formula1>
            <xm:f>IF($B$7="UNSIGNALIZED INTERSECTIONS",Grades!$I$23:$O$23,IF($B$7="SIGNALIZED INTERSECTIONS",Grades!$I$45:$O$45,Grades!$I$67:$O$67))</xm:f>
          </x14:formula1>
          <xm:sqref>F24</xm:sqref>
        </x14:dataValidation>
        <x14:dataValidation type="list" allowBlank="1" showInputMessage="1" showErrorMessage="1">
          <x14:formula1>
            <xm:f>IF($B$7="UNSIGNALIZED INTERSECTIONS",Grades!$I$22:$O$22,IF($B$7="SIGNALIZED INTERSECTIONS",Grades!$I$44:$O$44,Grades!$I$66:$O$66))</xm:f>
          </x14:formula1>
          <xm:sqref>F22</xm:sqref>
        </x14:dataValidation>
        <x14:dataValidation type="list" allowBlank="1" showInputMessage="1" showErrorMessage="1">
          <x14:formula1>
            <xm:f>IF($B$7="UNSIGNALIZED INTERSECTIONS",Grades!$I$21:$O$21,IF($B$7="SIGNALIZED INTERSECTIONS",Grades!$I$43:$O$43,Grades!$I$65:$O$65))</xm:f>
          </x14:formula1>
          <xm:sqref>F20</xm:sqref>
        </x14:dataValidation>
        <x14:dataValidation type="list" allowBlank="1" showInputMessage="1" showErrorMessage="1">
          <x14:formula1>
            <xm:f>IF($B$7="UNSIGNALIZED INTERSECTIONS",Grades!$I$20:$O$20,IF($B$7="SIGNALIZED INTERSECTIONS",Grades!$I$42:$O$42,Grades!$I$64:$O$64))</xm:f>
          </x14:formula1>
          <xm:sqref>E26</xm:sqref>
        </x14:dataValidation>
        <x14:dataValidation type="list" allowBlank="1" showInputMessage="1" showErrorMessage="1">
          <x14:formula1>
            <xm:f>IF($B$7="UNSIGNALIZED INTERSECTIONS",Grades!$I$19:$O$19,IF($B$7="SIGNALIZED INTERSECTIONS",Grades!$I$41:$O$41,Grades!$I$63:$O$63))</xm:f>
          </x14:formula1>
          <xm:sqref>E24</xm:sqref>
        </x14:dataValidation>
        <x14:dataValidation type="list" allowBlank="1" showInputMessage="1" showErrorMessage="1">
          <x14:formula1>
            <xm:f>IF($B$7="UNSIGNALIZED INTERSECTIONS",Grades!$I$18:$O$18,IF($B$7="SIGNALIZED INTERSECTIONS",Grades!$I$40:$O$40,Grades!$I$62:$O$62))</xm:f>
          </x14:formula1>
          <xm:sqref>E22</xm:sqref>
        </x14:dataValidation>
        <x14:dataValidation type="list" allowBlank="1" showInputMessage="1" showErrorMessage="1">
          <x14:formula1>
            <xm:f>IF($B$7="UNSIGNALIZED INTERSECTIONS",Grades!$I$17:$O$17,IF($B$7="SIGNALIZED INTERSECTIONS",Grades!$I$39:$O$39,Grades!$I$61:$O$61))</xm:f>
          </x14:formula1>
          <xm:sqref>E20</xm:sqref>
        </x14:dataValidation>
        <x14:dataValidation type="list" allowBlank="1" showInputMessage="1" showErrorMessage="1">
          <x14:formula1>
            <xm:f>IF($B$7="UNSIGNALIZED INTERSECTIONS",Grades!$I$16:$O$16,IF($B$7="SIGNALIZED INTERSECTIONS",Grades!$I$38:$O$38,Grades!$I$60:$O$60))</xm:f>
          </x14:formula1>
          <xm:sqref>D26</xm:sqref>
        </x14:dataValidation>
        <x14:dataValidation type="list" allowBlank="1" showInputMessage="1" showErrorMessage="1">
          <x14:formula1>
            <xm:f>IF($B$7="UNSIGNALIZED INTERSECTIONS",Grades!$I$15:$O$15,IF($B$7="SIGNALIZED INTERSECTIONS",Grades!$I$37:$O$37,Grades!$I$59:$O$59))</xm:f>
          </x14:formula1>
          <xm:sqref>D24</xm:sqref>
        </x14:dataValidation>
        <x14:dataValidation type="list" allowBlank="1" showInputMessage="1" showErrorMessage="1">
          <x14:formula1>
            <xm:f>IF($B$7="UNSIGNALIZED INTERSECTIONS",Grades!$I$14:$O$14,IF($B$7="SIGNALIZED INTERSECTIONS",Grades!$I$36:$O$36,Grades!$I$58:$O$58))</xm:f>
          </x14:formula1>
          <xm:sqref>D22</xm:sqref>
        </x14:dataValidation>
        <x14:dataValidation type="list" allowBlank="1" showInputMessage="1" showErrorMessage="1">
          <x14:formula1>
            <xm:f>IF($B$7="UNSIGNALIZED INTERSECTIONS",Grades!$I$13:$O$13,IF($B$7="SIGNALIZED INTERSECTIONS",Grades!$I$35:$O$35,Grades!$I$57:$O$57))</xm:f>
          </x14:formula1>
          <xm:sqref>D20</xm:sqref>
        </x14:dataValidation>
        <x14:dataValidation type="list" allowBlank="1" showInputMessage="1" showErrorMessage="1">
          <x14:formula1>
            <xm:f>IF($B$7="UNSIGNALIZED INTERSECTIONS",Grades!$I$6:$O$6,IF($B$7="SIGNALIZED INTERSECTIONS",Grades!$I$28:$O$28,Grades!$I$50:$O$50))</xm:f>
          </x14:formula1>
          <xm:sqref>B22</xm:sqref>
        </x14:dataValidation>
        <x14:dataValidation type="list" allowBlank="1" showInputMessage="1" showErrorMessage="1">
          <x14:formula1>
            <xm:f>IF($B$7="UNSIGNALIZED INTERSECTIONS",Grades!$I$5:$O$5,IF($B$7="SIGNALIZED INTERSECTIONS",Grades!$I$27:$O$27,Grades!$I$49:$O$49))</xm:f>
          </x14:formula1>
          <xm:sqref>B20</xm:sqref>
        </x14:dataValidation>
        <x14:dataValidation type="list" allowBlank="1" showInputMessage="1" showErrorMessage="1">
          <x14:formula1>
            <xm:f>IF($B$7="UNSIGNALIZED INTERSECTIONS",Grades!$J$11:$O$11,IF($B$7="SIGNALIZED INTERSECTIONS",Grades!$J$33:$O$33,Grades!$J$55:$O$55))</xm:f>
          </x14:formula1>
          <xm:sqref>C24</xm:sqref>
        </x14:dataValidation>
        <x14:dataValidation type="list" allowBlank="1" showInputMessage="1" showErrorMessage="1">
          <x14:formula1>
            <xm:f>IF($B$7="UNSIGNALIZED INTERSECTIONS",Grades!$J$9:$O$9,IF($B$7="SIGNALIZED INTERSECTIONS",Grades!$J$31:$O$31,Grades!$J$53:$O$53))</xm:f>
          </x14:formula1>
          <xm:sqref>C20</xm:sqref>
        </x14:dataValidation>
        <x14:dataValidation type="list" allowBlank="1" showInputMessage="1" showErrorMessage="1">
          <x14:formula1>
            <xm:f>IF($B$7="UNSIGNALIZED INTERSECTIONS",Grades!$J$10:$O$10,IF($B$7="SIGNALIZED INTERSECTIONS",Grades!$J$32:$O$32,Grades!$J$54:$O$54))</xm:f>
          </x14:formula1>
          <xm:sqref>C22</xm:sqref>
        </x14:dataValidation>
        <x14:dataValidation type="list" allowBlank="1" showInputMessage="1" showErrorMessage="1">
          <x14:formula1>
            <xm:f>IF($B$7="UNSIGNALIZED INTERSECTIONS","",IF($B$7="SIGNALIZED INTERSECTIONS",Grades!$J$30:$O$30,""))</xm:f>
          </x14:formula1>
          <xm:sqref>B26</xm:sqref>
        </x14:dataValidation>
        <x14:dataValidation type="list" allowBlank="1" showInputMessage="1" showErrorMessage="1">
          <x14:formula1>
            <xm:f>Targets!$D$7:$D$15</xm:f>
          </x14:formula1>
          <xm:sqref>B4:F4</xm:sqref>
        </x14:dataValidation>
        <x14:dataValidation type="list" allowBlank="1" showInputMessage="1" showErrorMessage="1">
          <x14:formula1>
            <xm:f>'AT Check'!$C$3:$D$3</xm:f>
          </x14:formula1>
          <xm:sqref>B13:F15</xm:sqref>
        </x14:dataValidation>
        <x14:dataValidation type="list" allowBlank="1" showInputMessage="1" showErrorMessage="1">
          <x14:formula1>
            <xm:f>Grades!$R$9:$R$11</xm:f>
          </x14:formula1>
          <xm:sqref>B7:F7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29"/>
  <sheetViews>
    <sheetView tabSelected="1" zoomScale="85" zoomScaleNormal="85" workbookViewId="0">
      <selection activeCell="A5" sqref="A5"/>
    </sheetView>
  </sheetViews>
  <sheetFormatPr defaultRowHeight="14.4" x14ac:dyDescent="0.3"/>
  <cols>
    <col min="1" max="1" width="45" customWidth="1"/>
    <col min="2" max="6" width="38.5546875" customWidth="1"/>
  </cols>
  <sheetData>
    <row r="1" spans="1:13" ht="15.6" x14ac:dyDescent="0.3">
      <c r="A1" s="52" t="s">
        <v>87</v>
      </c>
      <c r="B1" s="53"/>
      <c r="C1" s="53"/>
      <c r="D1" s="53"/>
      <c r="E1" s="53"/>
      <c r="F1" s="53"/>
      <c r="G1" s="310"/>
      <c r="L1" s="257"/>
      <c r="M1" s="257"/>
    </row>
    <row r="2" spans="1:13" ht="34.200000000000003" thickBot="1" x14ac:dyDescent="0.35">
      <c r="A2" s="296" t="s">
        <v>14</v>
      </c>
      <c r="B2" s="328" t="str">
        <f>B13</f>
        <v/>
      </c>
      <c r="C2" s="328" t="str">
        <f t="shared" ref="C2:F2" si="0">C13</f>
        <v/>
      </c>
      <c r="D2" s="328" t="str">
        <f t="shared" si="0"/>
        <v/>
      </c>
      <c r="E2" s="328" t="str">
        <f t="shared" si="0"/>
        <v/>
      </c>
      <c r="F2" s="329" t="str">
        <f t="shared" si="0"/>
        <v/>
      </c>
    </row>
    <row r="3" spans="1:13" ht="24.6" thickTop="1" thickBot="1" x14ac:dyDescent="0.35">
      <c r="A3" s="311" t="s">
        <v>13</v>
      </c>
      <c r="B3" s="393"/>
      <c r="C3" s="393"/>
      <c r="D3" s="393"/>
      <c r="E3" s="393"/>
      <c r="F3" s="393"/>
    </row>
    <row r="4" spans="1:13" ht="22.2" thickTop="1" thickBot="1" x14ac:dyDescent="0.35">
      <c r="A4" s="54" t="s">
        <v>22</v>
      </c>
      <c r="B4" s="395"/>
      <c r="C4" s="395"/>
      <c r="D4" s="395"/>
      <c r="E4" s="395"/>
      <c r="F4" s="396"/>
    </row>
    <row r="5" spans="1:13" ht="65.55" customHeight="1" thickTop="1" x14ac:dyDescent="0.3">
      <c r="A5" s="315" t="s">
        <v>28</v>
      </c>
      <c r="B5" s="318"/>
      <c r="C5" s="319"/>
      <c r="D5" s="319"/>
      <c r="E5" s="319"/>
      <c r="F5" s="320"/>
    </row>
    <row r="6" spans="1:13" ht="23.4" x14ac:dyDescent="0.3">
      <c r="A6" s="397"/>
      <c r="B6" s="397"/>
      <c r="C6" s="397"/>
      <c r="D6" s="397"/>
      <c r="E6" s="397"/>
      <c r="F6" s="398"/>
    </row>
    <row r="7" spans="1:13" ht="23.4" x14ac:dyDescent="0.3">
      <c r="A7" s="237" t="s">
        <v>176</v>
      </c>
      <c r="B7" s="400" t="s">
        <v>181</v>
      </c>
      <c r="C7" s="400"/>
      <c r="D7" s="400"/>
      <c r="E7" s="400"/>
      <c r="F7" s="401"/>
    </row>
    <row r="8" spans="1:13" ht="33.6" x14ac:dyDescent="0.3">
      <c r="A8" s="327" t="s">
        <v>312</v>
      </c>
      <c r="B8" s="316" t="str">
        <f>_xlfn.IFNA(VLOOKUP(IF(OR(AND(B9="Upwards",B11="None"),AND(B11="Upwards",B9="None")),INDEX(Grades!R17:S22,MATCH(VLOOKUP($B$4,Targets!$D$6:$I$15,2,FALSE),Grades!$R$17:$R$22,0)-1,2),IF(OR(AND(B9="Downwards",B11="None"),AND(B9="Downwards",B11="None")),INDEX(Grades!$R$17:$S$22,MATCH(VLOOKUP($B$4,Targets!$D$6:$I$15,2,FALSE),Grades!$R$17:$R$22,0)+1,2),IF(AND(B11="Upwards",B9="Upwards"),INDEX(Grades!$R$17:$S$22,MATCH(VLOOKUP($B$4,Targets!$D$6:$I$15,2,FALSE),Grades!$R$17:$R$22,0)-2,2),IF(AND(B9="Downwards",B11="Downwards"),INDEX(Grades!$R$17:$S$22,MATCH(VLOOKUP($B$4,Targets!$D$6:$I$15,2,FALSE),Grades!$R$17:$R$22,0)+2,2),INDEX(Grades!$R$17:$S$22,MATCH(VLOOKUP($B$4,Targets!$D$6:$I$15,2,FALSE),Grades!$R$17:$R$22,0),2))))),Grades!$S$17:$T$22,2,FALSE),"")</f>
        <v/>
      </c>
      <c r="C8" s="316" t="str">
        <f>_xlfn.IFNA(VLOOKUP(IF(OR(AND(C9="Upwards",C11="None"),AND(C11="Upwards",C9="None")),INDEX(Grades!R17:S22,MATCH(VLOOKUP($B$4,Targets!$D$6:$I$15,3,FALSE),Grades!$R$17:$R$22,0)-1,2),IF(OR(AND(C9="Downwards",C11="None"),AND(C9="Downwards",C11="None")),INDEX(Grades!$R$17:$S$22,MATCH(VLOOKUP($B$4,Targets!$D$6:$I$15,3,FALSE),Grades!$R$17:$R$22,0)+1,2),IF(AND(C11="Upwards",C9="Upwards"),INDEX(Grades!$R$17:$S$22,MATCH(VLOOKUP($B$4,Targets!$D$6:$I$15,3,FALSE),Grades!$R$17:$R$22,0)-2,2),IF(AND(C9="Downwards",C11="Downwards"),INDEX(Grades!$R$17:$S$22,MATCH(VLOOKUP($B$4,Targets!$D$6:$I$15,3,FALSE),Grades!$R$17:$R$22,0)+2,2),INDEX(Grades!$R$17:$S$22,MATCH(VLOOKUP($B$4,Targets!$D$6:$I$15,3,FALSE),Grades!$R$17:$R$22,0),2))))),Grades!$S$17:$T$22,2,FALSE),"")</f>
        <v/>
      </c>
      <c r="D8" s="316" t="str">
        <f>_xlfn.IFNA(VLOOKUP(IF(OR(AND(D9="Upwards",D11="None"),AND(D11="Upwards",D9="None")),INDEX(Grades!R17:S22,MATCH(VLOOKUP($B$4,Targets!$D$6:$I$15,4,FALSE),Grades!$R$17:$R$22,0)-1,2),IF(OR(AND(D9="Downwards",D11="None"),AND(D9="Downwards",D11="None")),INDEX(Grades!$R$17:$S$22,MATCH(VLOOKUP($B$4,Targets!$D$6:$I$15,4,FALSE),Grades!$R$17:$R$22,0)+1,2),IF(AND(D11="Upwards",D9="Upwards"),INDEX(Grades!$R$17:$S$22,MATCH(VLOOKUP($B$4,Targets!$D$6:$I$15,4,FALSE),Grades!$R$17:$R$22,0)-2,2),IF(AND(D9="Downwards",D11="Downwards"),INDEX(Grades!$R$17:$S$22,MATCH(VLOOKUP($B$4,Targets!$D$6:$I$15,4,FALSE),Grades!$R$17:$R$22,0)+2,2),INDEX(Grades!$R$17:$S$22,MATCH(VLOOKUP($B$4,Targets!$D$6:$I$15,4,FALSE),Grades!$R$17:$R$22,0),2))))),Grades!$S$17:$T$22,2,FALSE),"")</f>
        <v/>
      </c>
      <c r="E8" s="316" t="str">
        <f>_xlfn.IFNA(VLOOKUP(IF(OR(AND(E9="Upwards",E11="None"),AND(E11="Upwards",E9="None")),INDEX(Grades!R17:S22,MATCH(VLOOKUP($B$4,Targets!$D$6:$I$15,5,FALSE),Grades!$R$17:$R$22,0)-1,2),IF(OR(AND(E9="Downwards",E11="None"),AND(E9="Downwards",E11="None")),INDEX(Grades!$R$17:$S$22,MATCH(VLOOKUP($B$4,Targets!$D$6:$I$15,5,FALSE),Grades!$R$17:$R$22,0)+1,2),IF(AND(E11="Upwards",E9="Upwards"),INDEX(Grades!$R$17:$S$22,MATCH(VLOOKUP($B$4,Targets!$D$6:$I$15,5,FALSE),Grades!$R$17:$R$22,0)-2,2),IF(AND(E9="Downwards",E11="Downwards"),INDEX(Grades!$R$17:$S$22,MATCH(VLOOKUP($B$4,Targets!$D$6:$I$15,5,FALSE),Grades!$R$17:$R$22,0)+2,2),INDEX(Grades!$R$17:$S$22,MATCH(VLOOKUP($B$4,Targets!$D$6:$I$15,5,FALSE),Grades!$R$17:$R$22,0),2))))),Grades!$S$17:$T$22,2,FALSE),"")</f>
        <v/>
      </c>
      <c r="F8" s="317" t="str">
        <f>_xlfn.IFNA(VLOOKUP(IF(OR(AND(F9="Upwards",F11="None"),AND(F11="Upwards",F9="None")),INDEX(Grades!R17:S22,MATCH(VLOOKUP($B$4,Targets!$D$6:$I$15,6,FALSE),Grades!$R$17:$R$22,0)-1,2),IF(OR(AND(F9="Downwards",F11="None"),AND(F9="Downwards",F11="None")),INDEX(Grades!$R$17:$S$22,MATCH(VLOOKUP($B$4,Targets!$D$6:$I$15,6,FALSE),Grades!$R$17:$R$22,0)+1,2),IF(AND(F11="Upwards",F9="Upwards"),INDEX(Grades!$R$17:$S$22,MATCH(VLOOKUP($B$4,Targets!$D$6:$I$15,6,FALSE),Grades!$R$17:$R$22,0)-2,2),IF(AND(F9="Downwards",F11="Downwards"),INDEX(Grades!$R$17:$S$22,MATCH(VLOOKUP($B$4,Targets!$D$6:$I$15,6,FALSE),Grades!$R$17:$R$22,0)+2,2),INDEX(Grades!$R$17:$S$22,MATCH(VLOOKUP($B$4,Targets!$D$6:$I$15,6,FALSE),Grades!$R$17:$R$22,0),2))))),Grades!$S$17:$T$22,2,FALSE),"")</f>
        <v/>
      </c>
      <c r="K8" s="292"/>
    </row>
    <row r="9" spans="1:13" ht="33.6" x14ac:dyDescent="0.3">
      <c r="A9" s="327" t="s">
        <v>265</v>
      </c>
      <c r="B9" s="258" t="s">
        <v>236</v>
      </c>
      <c r="C9" s="258" t="s">
        <v>236</v>
      </c>
      <c r="D9" s="258" t="s">
        <v>236</v>
      </c>
      <c r="E9" s="258" t="s">
        <v>236</v>
      </c>
      <c r="F9" s="305" t="s">
        <v>236</v>
      </c>
    </row>
    <row r="10" spans="1:13" ht="23.4" x14ac:dyDescent="0.3">
      <c r="A10" s="327" t="s">
        <v>371</v>
      </c>
      <c r="B10" s="298"/>
      <c r="C10" s="298"/>
      <c r="D10" s="298"/>
      <c r="E10" s="298"/>
      <c r="F10" s="306"/>
    </row>
    <row r="11" spans="1:13" ht="33.6" x14ac:dyDescent="0.3">
      <c r="A11" s="327" t="s">
        <v>264</v>
      </c>
      <c r="B11" s="258" t="s">
        <v>236</v>
      </c>
      <c r="C11" s="258" t="s">
        <v>236</v>
      </c>
      <c r="D11" s="258" t="s">
        <v>236</v>
      </c>
      <c r="E11" s="258" t="s">
        <v>236</v>
      </c>
      <c r="F11" s="305" t="s">
        <v>236</v>
      </c>
    </row>
    <row r="12" spans="1:13" ht="23.4" x14ac:dyDescent="0.3">
      <c r="A12" s="327" t="s">
        <v>371</v>
      </c>
      <c r="B12" s="298"/>
      <c r="C12" s="298"/>
      <c r="D12" s="298"/>
      <c r="E12" s="298"/>
      <c r="F12" s="306"/>
    </row>
    <row r="13" spans="1:13" ht="34.200000000000003" thickBot="1" x14ac:dyDescent="0.35">
      <c r="A13" s="327" t="s">
        <v>14</v>
      </c>
      <c r="B13" s="324" t="str">
        <f>_xlfn.IFNA(VLOOKUP(IF(B7="UNSIGNALIZED INTERSECTIONS",ROUND(((IF(B22="",0,INDEX(Grades!$R$17:$T$22,MATCH(B22,Grades!$J5:$O5,0),2))*VLOOKUP('Analysis Tool'!B21,Grades!$G5:$I24,2,FALSE))+((IF(B24="",0,INDEX(Grades!$R$17:$T$22,MATCH(B24,Grades!$J6:$O6,0),2)))*VLOOKUP('Analysis Tool'!B23,Grades!$G5:$I24,2,FALSE))+((IF(B26="",0,INDEX(Grades!$R$17:$T$22,MATCH(B26,Grades!$J7:$O7,0),2)))*IF(B25="",0,VLOOKUP('Analysis Tool'!B25,Grades!$G5:$I24,2,FALSE)))+((IF(B28="",0,INDEX(Grades!$R$17:$T$22,MATCH(B28,Grades!$J8:$O8,0),2)))*IF(B27="",0,VLOOKUP('Analysis Tool'!B27,Grades!$G5:$I24,2,FALSE)))),0),IF(B7="SIGNALIZED INTERSECTIONS",ROUND((IF(B22="",0,INDEX(Grades!$R$17:$T$22,MATCH(B22,Grades!$J27:$O27,0),2)*VLOOKUP('Analysis Tool'!B21,Grades!$G27:$H46,2,FALSE))+(IF(B24="",0,INDEX(Grades!$R$17:$T$22,MATCH(B24,Grades!$J28:$O28,0),2)*VLOOKUP('Analysis Tool'!B23,Grades!$G27:$H46,2,FALSE)))+(IF(B26="",0,INDEX(Grades!$R$17:$T$22,MATCH(B26,Grades!$J29:$O29,0),2))*IF(B25="",0,VLOOKUP('Analysis Tool'!B25,Grades!$G27:$H46,2,FALSE)))+(IF(B28="",0,INDEX(Grades!$R$17:$T$22,MATCH(B28,Grades!$J30:$O30,0),2))*IF(B27="",0,VLOOKUP('Analysis Tool'!B27,Grades!$G27:$H46,2,FALSE)))),0),ROUND((IF(B22="",0,INDEX(Grades!$R$17:$T$22,MATCH(B22,Grades!$J49:$O49,0),2)*VLOOKUP('Analysis Tool'!B21,Grades!$G49:$H68,2,FALSE))+(IF(B24="",0,INDEX(Grades!$R$17:$T$22,MATCH(B24,Grades!$J50:$O50,0),2)*VLOOKUP('Analysis Tool'!B23,Grades!$G49:$H68,2,FALSE)))+(IF(B26="",0,INDEX(Grades!$R$17:$T$22,MATCH(B26,Grades!$J51:$O51,0),2)*IF(B25="",0,VLOOKUP('Analysis Tool'!B25,Grades!$G49:$H68,2,FALSE))))+(IF(B28="",0,INDEX(Grades!$R$17:$T$22,MATCH(B28,Grades!$J52:$O52,0),2)*IF(B27="",0,VLOOKUP('Analysis Tool'!B27,Grades!$G49:$H68,2,FALSE))))),0))),Grades!$S$17:$T$22,2,FALSE),"")</f>
        <v/>
      </c>
      <c r="C13" s="324" t="str">
        <f>_xlfn.IFNA(VLOOKUP(IF(B7="UNSIGNALIZED INTERSECTIONS",ROUND(((IF(C22="",0,INDEX(Grades!$R$17:$T$22,MATCH(C22,Grades!$J9:$O9,0),2))*VLOOKUP('Analysis Tool'!C21,Grades!G5:I24,2,FALSE))+((IF(C24="",0,INDEX(Grades!$R$17:$T$22,MATCH(C24,Grades!$J10:$O10,0),2)))*VLOOKUP('Analysis Tool'!C23,Grades!G5:I24,2,FALSE))+((IF(C26="",0,INDEX(Grades!$R$17:$T$22,MATCH(C26,Grades!$J11:$O11,0),2)))*IF(C25="",0,VLOOKUP('Analysis Tool'!C25,Grades!G5:I24,2,FALSE)))+((IF(C28="",0,INDEX(Grades!$R$17:$T$22,MATCH(C28,Grades!$J12:$O12,0),2)))*IF(C27="",0,VLOOKUP('Analysis Tool'!C27,Grades!G5:I24,2,FALSE)))),0),IF(B7="SIGNALIZED INTERSECTIONS",ROUND((IF(C22="",0,INDEX(Grades!$R$17:$T$22,MATCH(C22,Grades!$J31:$O31,0),2)*VLOOKUP('Analysis Tool'!C21,Grades!G27:I46,2,FALSE))+(IF(C24="",0,INDEX(Grades!$R$17:$T$22,MATCH(C24,Grades!$J32:$O32,0),2)*VLOOKUP('Analysis Tool'!C23,Grades!G27:I46,2,FALSE)))+(IF(C26="",0,INDEX(Grades!$R$17:$T$22,MATCH(C26,Grades!$J33:$O33,0),2))*IF(C25="",0,VLOOKUP('Analysis Tool'!C25,Grades!G27:I46,2,FALSE)))+(IF(C28="",0,INDEX(Grades!$R$17:$T$22,MATCH(C28,Grades!$J34:$O34,0),2))*IF(C27="",0,VLOOKUP('Analysis Tool'!C27,Grades!G27:I46,2,FALSE)))),0),ROUND((IF(C22="",0,INDEX(Grades!$R$17:$T$22,MATCH(C22,Grades!$J53:$O53,0),2)*VLOOKUP('Analysis Tool'!C21,Grades!G49:I68,2,FALSE))+(IF(C24="",0,INDEX(Grades!$R$17:$T$22,MATCH(C24,Grades!$J54:$O54,0),2)*VLOOKUP('Analysis Tool'!C23,Grades!G49:I68,2,FALSE)))+(IF(C26="",0,INDEX(Grades!$R$17:$T$22,MATCH(C26,Grades!$J55:$O55,0),2)*IF(C25="",0,VLOOKUP('Analysis Tool'!C25,Grades!G49:I68,2,FALSE))))+(IF(C28="",0,INDEX(Grades!$R$17:$T$22,MATCH(C28,Grades!$J56:$O56,0),2)*IF(C27="",0,VLOOKUP('Analysis Tool'!C27,Grades!G49:I68,2,FALSE))))),0))),Grades!$S$17:$T$22,2,FALSE),"")</f>
        <v/>
      </c>
      <c r="D13" s="324" t="str">
        <f>_xlfn.IFNA(VLOOKUP(IF(B7="UNSIGNALIZED INTERSECTIONS",ROUND(((IF(D22="",0,INDEX(Grades!$R$17:$T$22,MATCH(D22,Grades!$J13:$O13,0),2))*VLOOKUP('Analysis Tool'!D21,Grades!$G5:$I24,2,FALSE))+((IF(D24="",0,INDEX(Grades!$R$17:$T$22,MATCH(D24,Grades!$J14:$O14,0),2)))*VLOOKUP('Analysis Tool'!D23,Grades!$G5:$I24,2,FALSE))+((IF(D26="",0,INDEX(Grades!$R$17:$T$22,MATCH(D26,Grades!$J15:$O15,0),2)))*IF(D25="",0,VLOOKUP('Analysis Tool'!D25,Grades!$G5:$I24,2,FALSE)))+((IF(D28="",0,INDEX(Grades!$R$17:$T$22,MATCH(D28,Grades!$J16:$O16,0),2)))*IF(D27="",0,VLOOKUP('Analysis Tool'!D27,Grades!$G5:$I24,2,FALSE)))),0),IF(B7="SIGNALIZED INTERSECTIONS",ROUND((IF(D22="",0,INDEX(Grades!$R$17:$T$22,MATCH(D22,Grades!$J35:$O35,0),2)*VLOOKUP('Analysis Tool'!D21,Grades!$G27:$H46,2,FALSE))+(IF(D24="",0,INDEX(Grades!$R$17:$T$22,MATCH(D24,Grades!$J36:$O36,0),2)*VLOOKUP('Analysis Tool'!D23,Grades!$G27:$H46,2,FALSE)))+(IF(D26="",0,INDEX(Grades!$R$17:$T$22,MATCH(D26,Grades!$J37:$O37,0),2))*IF(D25="",0,VLOOKUP('Analysis Tool'!D25,Grades!$G27:$H46,2,FALSE)))+(IF(D28="",0,INDEX(Grades!$R$17:$T$22,MATCH(D28,Grades!$J38:$O38,0),2))*IF(D27="",0,VLOOKUP('Analysis Tool'!D27,Grades!$G27:$H46,2,FALSE)))),0),ROUND((IF(D22="",0,INDEX(Grades!$R$17:$T$22,MATCH(D22,Grades!$J57:$O57,0),2)*VLOOKUP('Analysis Tool'!D21,Grades!$G49:$H68,2,FALSE))+(IF(D24="",0,INDEX(Grades!$R$17:$T$22,MATCH(D24,Grades!$J58:$O58,0),2)*VLOOKUP('Analysis Tool'!D23,Grades!$G49:$H68,2,FALSE)))+(IF(D26="",0,INDEX(Grades!$R$17:$T$22,MATCH(D26,Grades!$J59:$O59,0),2)*IF(D25="",0,VLOOKUP('Analysis Tool'!D25,Grades!$G49:$H68,2,FALSE))))+(IF(D28="",0,INDEX(Grades!$R$17:$T$22,MATCH(D28,Grades!$J60:$O60,0),2)*IF(D27="",0,VLOOKUP('Analysis Tool'!D27,Grades!$G49:$H68,2,FALSE))))),0))),Grades!$S$17:$T$22,2,FALSE),"")</f>
        <v/>
      </c>
      <c r="E13" s="324" t="str">
        <f>_xlfn.IFNA(VLOOKUP(IF(B7="UNSIGNALIZED INTERSECTIONS",ROUND(((IF(E22="",0,INDEX(Grades!$R$17:$T$22,MATCH(E22,Grades!$J17:$O17,0),2))*VLOOKUP('Analysis Tool'!E21,Grades!$G17:$I20,2,FALSE))+((IF(E24="",0,INDEX(Grades!$R$17:$T$22,MATCH(E24,Grades!$J18:$O18,0),2)))*VLOOKUP('Analysis Tool'!E23,Grades!$G17:$I20,2,FALSE))+((IF(E26="",0,INDEX(Grades!$R$17:$T$22,MATCH(E26,Grades!$J19:$O19,0),2)))*IF(E25="",0,VLOOKUP('Analysis Tool'!E25,Grades!$G5:$I24,2,FALSE)))+((IF(E28="",0,INDEX(Grades!$R$17:$T$22,MATCH(E28,Grades!$J20:$O20,0),2)))*IF(E27="",0,VLOOKUP('Analysis Tool'!E27,Grades!$G5:$I24,2,FALSE)))),0),IF(B7="SIGNALIZED INTERSECTIONS",ROUND((IF(E22="",0,INDEX(Grades!$R$17:$T$22,MATCH(E22,Grades!$J39:$O39,0),2)*VLOOKUP('Analysis Tool'!E21,Grades!$G39:$H42,2,FALSE))+(IF(E24="",0,INDEX(Grades!$R$17:$T$22,MATCH(E24,Grades!$J40:$O40,0),2)*VLOOKUP('Analysis Tool'!E23,Grades!$G39:$H42,2,FALSE)))+(IF(E26="",0,INDEX(Grades!$R$17:$T$22,MATCH(E26,Grades!$J41:$O41,0),2))*IF(E25="",0,VLOOKUP('Analysis Tool'!E25,Grades!$G27:$H46,2,FALSE)))+(IF(E28="",0,INDEX(Grades!$R$17:$T$22,MATCH(E28,Grades!$J42:$O42,0),2))*IF(E27="",0,VLOOKUP('Analysis Tool'!E27,Grades!$G27:$H46,2,FALSE)))),0),ROUND((IF(E22="",0,INDEX(Grades!$R$17:$T$22,MATCH(E22,Grades!$J61:$O61,0),2)*VLOOKUP('Analysis Tool'!E21,Grades!$G49:$H68,2,FALSE))+(IF(E24="",0,INDEX(Grades!$R$17:$T$22,MATCH(E24,Grades!$J62:$O62,0),2)*VLOOKUP('Analysis Tool'!E23,Grades!$G49:$H68,2,FALSE)))+(IF(E26="",0,INDEX(Grades!$R$17:$T$22,MATCH(E26,Grades!$J63:$O63,0),2)*IF(E25="",0,VLOOKUP('Analysis Tool'!E25,Grades!$G49:$H68,2,FALSE))))+(IF(E28="",0,INDEX(Grades!$R$17:$T$22,MATCH(E28,Grades!$J64:$O64,0),2)*IF(E27="",0,VLOOKUP('Analysis Tool'!E27,Grades!$G49:$H68,2,FALSE))))),0))),Grades!$S$17:$T$22,2,FALSE),"")</f>
        <v/>
      </c>
      <c r="F13" s="325" t="str">
        <f>_xlfn.IFNA(VLOOKUP(IF(B7="UNSIGNALIZED INTERSECTIONS",ROUND(((IF(F22="",0,INDEX(Grades!$R$17:$T$22,MATCH(F22,Grades!$J21:$O21,0),2))*VLOOKUP('Analysis Tool'!F21,Grades!$G5:$I24,2,FALSE))+((IF(F24="",0,INDEX(Grades!$R$17:$T$22,MATCH(F24,Grades!$J22:$O22,0),2)))*VLOOKUP('Analysis Tool'!F23,Grades!$G5:$I24,2,FALSE))+((IF(F26="",0,INDEX(Grades!$R$17:$T$22,MATCH(F26,Grades!$J23:$O23,0),2)))*IF(F25="",0,VLOOKUP('Analysis Tool'!F25,Grades!$G5:$I24,2,FALSE)))+((IF(F28="",0,INDEX(Grades!$R$17:$T$22,MATCH(F28,Grades!$J24:$O24,0),2)))*IF(F27="",0,VLOOKUP('Analysis Tool'!F27,Grades!$G5:$I24,2,FALSE)))),0),IF(B7="SIGNALIZED INTERSECTIONS",ROUND((IF(F22="",0,INDEX(Grades!$R$17:$T$22,MATCH(F22,Grades!$J43:$O43,0),2)*VLOOKUP('Analysis Tool'!F21,Grades!$G27:$H46,2,FALSE))+(IF(F24="",0,INDEX(Grades!$R$17:$T$22,MATCH(F24,Grades!$J44:$O44,0),2)*VLOOKUP('Analysis Tool'!F23,Grades!$G27:$H46,2,FALSE)))+(IF(F26="",0,INDEX(Grades!$R$17:$T$22,MATCH(F26,Grades!$J45:$O45,0),2))*IF(F25="",0,VLOOKUP('Analysis Tool'!F25,Grades!$G27:$H46,2,FALSE)))+(IF(F28="",0,INDEX(Grades!$R$17:$T$22,MATCH(F28,Grades!$J46:$O46,0),2))*IF(F27="",0,VLOOKUP('Analysis Tool'!F27,Grades!$G27:$H46,2,FALSE)))),0),ROUND((IF(F22="",0,INDEX(Grades!$R$17:$T$22,MATCH(F22,Grades!$J65:$O65,0),2)*VLOOKUP('Analysis Tool'!F21,Grades!$G49:$H68,2,FALSE))+(IF(F24="",0,INDEX(Grades!$R$17:$T$22,MATCH(F24,Grades!$J66:$O66,0),2)*VLOOKUP('Analysis Tool'!F23,Grades!$G49:$H68,2,FALSE)))+(IF(F26="",0,INDEX(Grades!$R$17:$T$22,MATCH(F26,Grades!$J67:$O67,0),2)*IF(F25="",0,VLOOKUP('Analysis Tool'!F25,Grades!$G49:$H68,2,FALSE))))+(IF(F28="",0,INDEX(Grades!$R$17:$T$22,MATCH(F28,Grades!$J68:$O68,0),2)*IF(F27="",0,VLOOKUP('Analysis Tool'!F27,Grades!$G49:$H68,2,FALSE))))),0))),Grades!$S$17:$T$22,2,FALSE),"")</f>
        <v/>
      </c>
    </row>
    <row r="14" spans="1:13" ht="23.55" customHeight="1" thickTop="1" thickBot="1" x14ac:dyDescent="0.35">
      <c r="A14" s="402" t="s">
        <v>246</v>
      </c>
      <c r="B14" s="403"/>
      <c r="C14" s="403"/>
      <c r="D14" s="403"/>
      <c r="E14" s="403"/>
      <c r="F14" s="404"/>
    </row>
    <row r="15" spans="1:13" ht="79.95" customHeight="1" thickTop="1" thickBot="1" x14ac:dyDescent="0.35">
      <c r="A15" s="415" t="str">
        <f>IF(B7="SEGMENTS",'AT Check'!B5,'AT Check'!B7)</f>
        <v>Are marked pedestrian crossings provided to connect all approaching pedestrian facilities?</v>
      </c>
      <c r="B15" s="416"/>
      <c r="C15" s="416"/>
      <c r="D15" s="416"/>
      <c r="E15" s="417"/>
      <c r="F15" s="321"/>
    </row>
    <row r="16" spans="1:13" ht="79.95" customHeight="1" thickTop="1" thickBot="1" x14ac:dyDescent="0.35">
      <c r="A16" s="415" t="str">
        <f>IF(B7="SEGMENTS",'AT Check'!B6,'AT Check'!B8)</f>
        <v>Does the approaching bike facility continue at a consistent width up to the edge of the intersection (crosswalk or curb edge of intersecting roadway)?</v>
      </c>
      <c r="B16" s="416"/>
      <c r="C16" s="416"/>
      <c r="D16" s="416"/>
      <c r="E16" s="417"/>
      <c r="F16" s="321"/>
    </row>
    <row r="17" spans="1:7" ht="79.95" customHeight="1" thickTop="1" thickBot="1" x14ac:dyDescent="0.35">
      <c r="A17" s="415" t="str">
        <f>IF(B7="SEGMENTS","-",'AT Check'!B9)</f>
        <v>Is a continuous amount of space and accompanying pavement makings delineated for cyclists through the intersection?</v>
      </c>
      <c r="B17" s="416"/>
      <c r="C17" s="416"/>
      <c r="D17" s="416"/>
      <c r="E17" s="417"/>
      <c r="F17" s="321"/>
    </row>
    <row r="18" spans="1:7" ht="79.95" customHeight="1" thickTop="1" thickBot="1" x14ac:dyDescent="0.35">
      <c r="A18" s="418" t="str">
        <f>IF(B7="SEGMENTS","-",'AT Check'!B10)</f>
        <v>Does the intersection design provide features which facilitate all the intended turn movements for cyclists (e.g. bike boxes, queuing space, protected intersection, etc)?</v>
      </c>
      <c r="B18" s="419"/>
      <c r="C18" s="419"/>
      <c r="D18" s="419"/>
      <c r="E18" s="420"/>
      <c r="F18" s="322"/>
      <c r="G18" s="310"/>
    </row>
    <row r="19" spans="1:7" ht="79.95" customHeight="1" thickTop="1" thickBot="1" x14ac:dyDescent="0.35">
      <c r="A19" s="418" t="str">
        <f>IF(B7="SEGMENTS","-",'AT Check'!B11)</f>
        <v>Have Accessibility for Ontarians with Disabilities Act (AODA) and municipal accessibility 
standards (if applicable) been considered?</v>
      </c>
      <c r="B19" s="419"/>
      <c r="C19" s="419"/>
      <c r="D19" s="419"/>
      <c r="E19" s="420"/>
      <c r="F19" s="322"/>
      <c r="G19" s="310"/>
    </row>
    <row r="20" spans="1:7" ht="30" customHeight="1" thickTop="1" x14ac:dyDescent="0.3">
      <c r="A20" s="405" t="s">
        <v>247</v>
      </c>
      <c r="B20" s="405"/>
      <c r="C20" s="405"/>
      <c r="D20" s="405"/>
      <c r="E20" s="405"/>
      <c r="F20" s="405"/>
      <c r="G20" s="310"/>
    </row>
    <row r="21" spans="1:7" ht="49.95" customHeight="1" x14ac:dyDescent="0.3">
      <c r="A21" s="399" t="s">
        <v>228</v>
      </c>
      <c r="B21" s="326" t="str">
        <f>IF(B7="SIGNALIZED INTERSECTIONS",Grades!G27,IF(B7="UNSIGNALIZED INTERSECTIONS",Grades!G5,Grades!G49))</f>
        <v>Enhanced Pedestrian Measures</v>
      </c>
      <c r="C21" s="326" t="str">
        <f>IF(B7="UNSIGNALIZED INTERSECTIONS",Grades!G9,IF(B7="SIGNALIZED INTERSECTIONS",Grades!G31,Grades!G53))</f>
        <v>Enhanced Bicycle Facilities</v>
      </c>
      <c r="D21" s="326" t="str">
        <f>IF($B$7="UNSIGNALIZED INTERSECTIONS",Grades!G13,IF($B$7="SIGNALIZED INTERSECTIONS",Grades!$G$35,Grades!$G$57))</f>
        <v xml:space="preserve">Transit Priority Measures </v>
      </c>
      <c r="E21" s="326" t="str">
        <f>IF($B$7="UNSIGNALIZED INTERSECTIONS",Grades!G17,IF($B$7="SIGNALIZED INTERSECTIONS",Grades!$G$39,Grades!$G$61))</f>
        <v xml:space="preserve">Average Effective Turning Radius 
(m) </v>
      </c>
      <c r="F21" s="326" t="str">
        <f>IF($B$7="UNSIGNALIZED INTERSECTIONS",Grades!G21,IF($B$7="SIGNALIZED INTERSECTIONS",Grades!$G$43,Grades!$G$65))</f>
        <v xml:space="preserve">% of Movements with 
Dedicated Turn Lanes </v>
      </c>
    </row>
    <row r="22" spans="1:7" ht="49.95" customHeight="1" x14ac:dyDescent="0.3">
      <c r="A22" s="399"/>
      <c r="B22" s="295"/>
      <c r="C22" s="295"/>
      <c r="D22" s="295"/>
      <c r="E22" s="295"/>
      <c r="F22" s="295"/>
    </row>
    <row r="23" spans="1:7" ht="49.95" customHeight="1" x14ac:dyDescent="0.3">
      <c r="A23" s="399" t="s">
        <v>229</v>
      </c>
      <c r="B23" s="326" t="str">
        <f>IF(B7="SIGNALIZED INTERSECTIONS",Grades!G28,IF(B7="UNSIGNALIZED INTERSECTIONS",Grades!G6,Grades!G50))</f>
        <v xml:space="preserve">Average Effective Turning Radius 
(m) </v>
      </c>
      <c r="C23" s="326" t="str">
        <f>IF(B7="SIGNALIZED INTERSECTIONS",Grades!G32,IF(B7="UNSIGNALIZED INTERSECTIONS",Grades!G10,Grades!G54))</f>
        <v xml:space="preserve">Average Effective Turning Radius 
(m) </v>
      </c>
      <c r="D23" s="326" t="str">
        <f>IF($B$7="UNSIGNALIZED INTERSECTIONS",Grades!G14,IF($B$7="SIGNALIZED INTERSECTIONS",Grades!$G$36,Grades!$G$58))</f>
        <v xml:space="preserve">Transit Movement Delay (s) </v>
      </c>
      <c r="E23" s="326" t="str">
        <f>IF($B$7="UNSIGNALIZED INTERSECTIONS",Grades!G18,IF($B$7="SIGNALIZED INTERSECTIONS",Grades!$G$40,Grades!$G$62))</f>
        <v xml:space="preserve">Car Level of Service </v>
      </c>
      <c r="F23" s="326" t="str">
        <f>IF($B$7="UNSIGNALIZED INTERSECTIONS",Grades!G22,IF($B$7="SIGNALIZED INTERSECTIONS",Grades!$G$44,Grades!$G$66))</f>
        <v xml:space="preserve">Intersection Delay (s) </v>
      </c>
    </row>
    <row r="24" spans="1:7" ht="56.4" customHeight="1" x14ac:dyDescent="0.3">
      <c r="A24" s="399"/>
      <c r="B24" s="295"/>
      <c r="C24" s="295"/>
      <c r="D24" s="295"/>
      <c r="E24" s="295"/>
      <c r="F24" s="295"/>
    </row>
    <row r="25" spans="1:7" ht="49.95" customHeight="1" x14ac:dyDescent="0.3">
      <c r="A25" s="399" t="s">
        <v>230</v>
      </c>
      <c r="B25" s="326" t="str">
        <f>IF(B7="SIGNALIZED INTERSECTIONS",Grades!G29,IF(B7="UNSIGNALIZED INTERSECTIONS",Grades!G7,Grades!G51))</f>
        <v xml:space="preserve">Signal Cycle Length (s) </v>
      </c>
      <c r="C25" s="326" t="str">
        <f>IF(B7="SIGNALIZED INTERSECTIONS",Grades!G33,IF(B7="UNSIGNALIZED INTERSECTIONS",Grades!G11,Grades!G55))</f>
        <v xml:space="preserve">Signal Cycle Length (s) </v>
      </c>
      <c r="D25" s="326" t="str">
        <f>IF($B$7="UNSIGNALIZED INTERSECTIONS",Grades!G15,IF($B$7="SIGNALIZED INTERSECTIONS",Grades!$G$37,Grades!$G$59))</f>
        <v>Pedestrian Level of Service</v>
      </c>
      <c r="E25" s="326" t="str">
        <f>IF($B$7="UNSIGNALIZED INTERSECTIONS",Grades!G19,IF($B$7="SIGNALIZED INTERSECTIONS",Grades!$G$41,Grades!$G$63))</f>
        <v>-</v>
      </c>
      <c r="F25" s="326" t="str">
        <f>IF($B$7="UNSIGNALIZED INTERSECTIONS",Grades!G23,IF($B$7="SIGNALIZED INTERSECTIONS",Grades!$G$45,Grades!$G$67))</f>
        <v>-</v>
      </c>
    </row>
    <row r="26" spans="1:7" ht="57.6" customHeight="1" x14ac:dyDescent="0.3">
      <c r="A26" s="399"/>
      <c r="B26" s="295"/>
      <c r="C26" s="295"/>
      <c r="D26" s="295"/>
      <c r="E26" s="295"/>
      <c r="F26" s="295"/>
    </row>
    <row r="27" spans="1:7" ht="49.95" customHeight="1" x14ac:dyDescent="0.3">
      <c r="A27" s="399" t="s">
        <v>231</v>
      </c>
      <c r="B27" s="326" t="str">
        <f>IF(B7="SIGNALIZED INTERSECTIONS",Grades!G30,IF(B7="UNSIGNALIZED INTERSECTIONS","",""))</f>
        <v>Number of Uncontrolled 
Conflicts (conflicts/approach)</v>
      </c>
      <c r="C27" s="326" t="str">
        <f>IF(B7="SIGNALIZED INTERSECTIONS",Grades!G34,IF(B7="UNSIGNALIZED INTERSECTIONS",Grades!G12,Grades!G56))</f>
        <v>Number of Uncontrolled 
Conflicts (conflicts/approach)</v>
      </c>
      <c r="D27" s="326" t="str">
        <f>IF($B$7="UNSIGNALIZED INTERSECTIONS",Grades!G16,IF($B$7="SIGNALIZED INTERSECTIONS",Grades!$G$38,Grades!$G$60))</f>
        <v>-</v>
      </c>
      <c r="E27" s="326" t="str">
        <f>IF($B$7="UNSIGNALIZED INTERSECTIONS",Grades!G20,IF($B$7="SIGNALIZED INTERSECTIONS",Grades!$G$42,Grades!$G$64))</f>
        <v>-</v>
      </c>
      <c r="F27" s="326" t="str">
        <f>IF($B$7="UNSIGNALIZED INTERSECTIONS",Grades!G24,IF($B$7="SIGNALIZED INTERSECTIONS",Grades!$G$46,Grades!$G$68))</f>
        <v>-</v>
      </c>
    </row>
    <row r="28" spans="1:7" ht="49.95" customHeight="1" x14ac:dyDescent="0.3">
      <c r="A28" s="399"/>
      <c r="B28" s="295"/>
      <c r="C28" s="295"/>
      <c r="D28" s="295"/>
      <c r="E28" s="295"/>
      <c r="F28" s="295"/>
    </row>
    <row r="29" spans="1:7" x14ac:dyDescent="0.3">
      <c r="A29" s="313"/>
    </row>
  </sheetData>
  <sheetProtection algorithmName="SHA-512" hashValue="RpzAhekNCgBOD4yONyTy8wdewHx5md7Xs6Hs28QmoLUf62i069dbEXC3U1bklj0Jgm1KEgziRvPLMWjVh+K0YQ==" saltValue="eIBaLxCxRvvl3sNQanGxYg==" spinCount="100000" sheet="1" objects="1" scenarios="1" formatCells="0" formatColumns="0" formatRows="0" insertHyperlinks="0" selectLockedCells="1" sort="0" autoFilter="0" pivotTables="0"/>
  <mergeCells count="15">
    <mergeCell ref="A25:A26"/>
    <mergeCell ref="A27:A28"/>
    <mergeCell ref="A16:E16"/>
    <mergeCell ref="A17:E17"/>
    <mergeCell ref="A18:E18"/>
    <mergeCell ref="A20:F20"/>
    <mergeCell ref="A21:A22"/>
    <mergeCell ref="A23:A24"/>
    <mergeCell ref="A15:E15"/>
    <mergeCell ref="A19:E19"/>
    <mergeCell ref="B3:F3"/>
    <mergeCell ref="B4:F4"/>
    <mergeCell ref="A6:F6"/>
    <mergeCell ref="B7:F7"/>
    <mergeCell ref="A14:F14"/>
  </mergeCells>
  <conditionalFormatting sqref="A5:F5 A4:B4 B1:F1 A8:A18 A20">
    <cfRule type="cellIs" dxfId="242" priority="56" operator="equal">
      <formula>"F"</formula>
    </cfRule>
    <cfRule type="cellIs" dxfId="241" priority="57" operator="equal">
      <formula>"E"</formula>
    </cfRule>
    <cfRule type="cellIs" dxfId="240" priority="58" operator="equal">
      <formula>"D"</formula>
    </cfRule>
    <cfRule type="cellIs" dxfId="239" priority="59" operator="equal">
      <formula>"C"</formula>
    </cfRule>
    <cfRule type="cellIs" dxfId="238" priority="60" operator="equal">
      <formula>"B"</formula>
    </cfRule>
    <cfRule type="cellIs" dxfId="237" priority="61" operator="equal">
      <formula>"A"</formula>
    </cfRule>
  </conditionalFormatting>
  <conditionalFormatting sqref="A3">
    <cfRule type="cellIs" dxfId="236" priority="50" operator="equal">
      <formula>"F"</formula>
    </cfRule>
    <cfRule type="cellIs" dxfId="235" priority="51" operator="equal">
      <formula>"E"</formula>
    </cfRule>
    <cfRule type="cellIs" dxfId="234" priority="52" operator="equal">
      <formula>"D"</formula>
    </cfRule>
    <cfRule type="cellIs" dxfId="233" priority="53" operator="equal">
      <formula>"C"</formula>
    </cfRule>
    <cfRule type="cellIs" dxfId="232" priority="54" operator="equal">
      <formula>"B"</formula>
    </cfRule>
    <cfRule type="cellIs" dxfId="231" priority="55" operator="equal">
      <formula>"A"</formula>
    </cfRule>
  </conditionalFormatting>
  <conditionalFormatting sqref="A6:A7">
    <cfRule type="cellIs" dxfId="230" priority="38" operator="equal">
      <formula>"F"</formula>
    </cfRule>
    <cfRule type="cellIs" dxfId="229" priority="39" operator="equal">
      <formula>"E"</formula>
    </cfRule>
    <cfRule type="cellIs" dxfId="228" priority="40" operator="equal">
      <formula>"D"</formula>
    </cfRule>
    <cfRule type="cellIs" dxfId="227" priority="41" operator="equal">
      <formula>"C"</formula>
    </cfRule>
    <cfRule type="cellIs" dxfId="226" priority="42" operator="equal">
      <formula>"B"</formula>
    </cfRule>
    <cfRule type="cellIs" dxfId="225" priority="43" operator="equal">
      <formula>"A"</formula>
    </cfRule>
  </conditionalFormatting>
  <conditionalFormatting sqref="A1">
    <cfRule type="cellIs" dxfId="224" priority="32" operator="equal">
      <formula>"F"</formula>
    </cfRule>
    <cfRule type="cellIs" dxfId="223" priority="33" operator="equal">
      <formula>"E"</formula>
    </cfRule>
    <cfRule type="cellIs" dxfId="222" priority="34" operator="equal">
      <formula>"D"</formula>
    </cfRule>
    <cfRule type="cellIs" dxfId="221" priority="35" operator="equal">
      <formula>"C"</formula>
    </cfRule>
    <cfRule type="cellIs" dxfId="220" priority="36" operator="equal">
      <formula>"B"</formula>
    </cfRule>
    <cfRule type="cellIs" dxfId="219" priority="37" operator="equal">
      <formula>"A"</formula>
    </cfRule>
  </conditionalFormatting>
  <conditionalFormatting sqref="B10:F10 B12:F12">
    <cfRule type="expression" dxfId="218" priority="31">
      <formula>B9="None"</formula>
    </cfRule>
  </conditionalFormatting>
  <conditionalFormatting sqref="D13:E13 D2:E2">
    <cfRule type="expression" dxfId="217" priority="30">
      <formula>OR(D$15="No",OR(D$16="No",OR(D$17="No",OR(D$18="No"))))</formula>
    </cfRule>
  </conditionalFormatting>
  <conditionalFormatting sqref="A17 F17">
    <cfRule type="expression" dxfId="216" priority="29">
      <formula>$A$17="-"</formula>
    </cfRule>
  </conditionalFormatting>
  <conditionalFormatting sqref="A18 F18">
    <cfRule type="expression" dxfId="215" priority="28">
      <formula>$A$18="-"</formula>
    </cfRule>
  </conditionalFormatting>
  <conditionalFormatting sqref="A2">
    <cfRule type="cellIs" dxfId="214" priority="22" operator="equal">
      <formula>"F"</formula>
    </cfRule>
    <cfRule type="cellIs" dxfId="213" priority="23" operator="equal">
      <formula>"E"</formula>
    </cfRule>
    <cfRule type="cellIs" dxfId="212" priority="24" operator="equal">
      <formula>"D"</formula>
    </cfRule>
    <cfRule type="cellIs" dxfId="211" priority="25" operator="equal">
      <formula>"C"</formula>
    </cfRule>
    <cfRule type="cellIs" dxfId="210" priority="26" operator="equal">
      <formula>"B"</formula>
    </cfRule>
    <cfRule type="cellIs" dxfId="209" priority="27" operator="equal">
      <formula>"A"</formula>
    </cfRule>
  </conditionalFormatting>
  <conditionalFormatting sqref="F15">
    <cfRule type="expression" dxfId="208" priority="21">
      <formula>OR(AND(B$9&lt;&gt;"None",B$10=""),AND(B$11&lt;&gt;"None",B$12=""))</formula>
    </cfRule>
  </conditionalFormatting>
  <conditionalFormatting sqref="A9:F13 A15 F15:F18">
    <cfRule type="expression" dxfId="207" priority="20">
      <formula>$B$7=""</formula>
    </cfRule>
  </conditionalFormatting>
  <conditionalFormatting sqref="A16:A18">
    <cfRule type="expression" dxfId="206" priority="19">
      <formula>$B$7=""</formula>
    </cfRule>
  </conditionalFormatting>
  <conditionalFormatting sqref="A21:A28">
    <cfRule type="expression" dxfId="205" priority="18">
      <formula>$B$7=""</formula>
    </cfRule>
  </conditionalFormatting>
  <conditionalFormatting sqref="F16:F18">
    <cfRule type="expression" dxfId="204" priority="62">
      <formula>OR(AND(C$9&lt;&gt;"None",C$10=""),AND(C$11&lt;&gt;"None",C$12=""))</formula>
    </cfRule>
  </conditionalFormatting>
  <conditionalFormatting sqref="F13 F2">
    <cfRule type="expression" dxfId="203" priority="63">
      <formula>OR(#REF!="No",OR(#REF!="No",OR(#REF!="No",OR(#REF!="No"))))</formula>
    </cfRule>
  </conditionalFormatting>
  <conditionalFormatting sqref="B13 B2">
    <cfRule type="expression" dxfId="202" priority="64">
      <formula>OR(F$15="No",OR($F$15="No",OR($F$15="No")))</formula>
    </cfRule>
  </conditionalFormatting>
  <conditionalFormatting sqref="C13 C2">
    <cfRule type="expression" dxfId="201" priority="65">
      <formula>OR(C$15="No",OR(F$16="No",OR(F$17="No",OR(F$18="No"))))</formula>
    </cfRule>
  </conditionalFormatting>
  <conditionalFormatting sqref="B3">
    <cfRule type="cellIs" dxfId="200" priority="12" operator="equal">
      <formula>"F"</formula>
    </cfRule>
    <cfRule type="cellIs" dxfId="199" priority="13" operator="equal">
      <formula>"E"</formula>
    </cfRule>
    <cfRule type="cellIs" dxfId="198" priority="14" operator="equal">
      <formula>"D"</formula>
    </cfRule>
    <cfRule type="cellIs" dxfId="197" priority="15" operator="equal">
      <formula>"C"</formula>
    </cfRule>
    <cfRule type="cellIs" dxfId="196" priority="16" operator="equal">
      <formula>"B"</formula>
    </cfRule>
    <cfRule type="cellIs" dxfId="195" priority="17" operator="equal">
      <formula>"A"</formula>
    </cfRule>
  </conditionalFormatting>
  <conditionalFormatting sqref="A19">
    <cfRule type="cellIs" dxfId="194" priority="5" operator="equal">
      <formula>"F"</formula>
    </cfRule>
    <cfRule type="cellIs" dxfId="193" priority="6" operator="equal">
      <formula>"E"</formula>
    </cfRule>
    <cfRule type="cellIs" dxfId="192" priority="7" operator="equal">
      <formula>"D"</formula>
    </cfRule>
    <cfRule type="cellIs" dxfId="191" priority="8" operator="equal">
      <formula>"C"</formula>
    </cfRule>
    <cfRule type="cellIs" dxfId="190" priority="9" operator="equal">
      <formula>"B"</formula>
    </cfRule>
    <cfRule type="cellIs" dxfId="189" priority="10" operator="equal">
      <formula>"A"</formula>
    </cfRule>
  </conditionalFormatting>
  <conditionalFormatting sqref="A19 F19">
    <cfRule type="expression" dxfId="188" priority="4">
      <formula>$A$18="-"</formula>
    </cfRule>
  </conditionalFormatting>
  <conditionalFormatting sqref="F19">
    <cfRule type="expression" dxfId="187" priority="3">
      <formula>$B$7=""</formula>
    </cfRule>
  </conditionalFormatting>
  <conditionalFormatting sqref="A19">
    <cfRule type="expression" dxfId="186" priority="2">
      <formula>$B$7=""</formula>
    </cfRule>
  </conditionalFormatting>
  <conditionalFormatting sqref="F19">
    <cfRule type="expression" dxfId="185" priority="11">
      <formula>OR(AND(B$9&lt;&gt;"None",B$10=""),AND(B$11&lt;&gt;"None",B$12=""))</formula>
    </cfRule>
  </conditionalFormatting>
  <conditionalFormatting sqref="B13">
    <cfRule type="expression" dxfId="184" priority="1">
      <formula>AND(OR($B$7="SIGNALIZED INTERSECTIONS",$B$7="UNSIGNALIZED INTERSECTIONS"),$F$19="No")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IF($A$18="-",'AT Check'!$E$3:$E$7,'AT Check'!$C$3:$D$3)</xm:f>
          </x14:formula1>
          <xm:sqref>F18:F19</xm:sqref>
        </x14:dataValidation>
        <x14:dataValidation type="list" allowBlank="1" showInputMessage="1" showErrorMessage="1">
          <x14:formula1>
            <xm:f>IF($A$17="-",'AT Check'!$E$3:$E$7,'AT Check'!$C$3:$D$3)</xm:f>
          </x14:formula1>
          <xm:sqref>F17</xm:sqref>
        </x14:dataValidation>
        <x14:dataValidation type="list" allowBlank="1" showInputMessage="1" showErrorMessage="1">
          <x14:formula1>
            <xm:f>IF($B$7="UNSIGNALIZED INTERSECTIONS","",IF($B$7="SIGNALIZED INTERSECTIONS",Grades!$J$34:$O$34,""))</xm:f>
          </x14:formula1>
          <xm:sqref>C28</xm:sqref>
        </x14:dataValidation>
        <x14:dataValidation type="list" allowBlank="1" showInputMessage="1" showErrorMessage="1">
          <x14:formula1>
            <xm:f>Targets!$L$6:$L$8</xm:f>
          </x14:formula1>
          <xm:sqref>B9:F9 B11:F11</xm:sqref>
        </x14:dataValidation>
        <x14:dataValidation type="list" allowBlank="1" showInputMessage="1" showErrorMessage="1">
          <x14:formula1>
            <xm:f>IF($B$7="UNSIGNALIZED INTERSECTIONS",Grades!$I$7:$O$7,IF($B$7="SIGNALIZED INTERSECTIONS",Grades!$I$29:$O$29,Grades!$I$51:$O$51))</xm:f>
          </x14:formula1>
          <xm:sqref>B26</xm:sqref>
        </x14:dataValidation>
        <x14:dataValidation type="list" allowBlank="1" showInputMessage="1" showErrorMessage="1">
          <x14:formula1>
            <xm:f>IF($B$7="UNSIGNALIZED INTERSECTIONS",Grades!$I$24:$O$24,IF($B$7="SIGNALIZED INTERSECTIONS",Grades!$I$46:$O$46,Grades!$I$68:$O$68))</xm:f>
          </x14:formula1>
          <xm:sqref>F28</xm:sqref>
        </x14:dataValidation>
        <x14:dataValidation type="list" allowBlank="1" showInputMessage="1" showErrorMessage="1">
          <x14:formula1>
            <xm:f>IF($B$7="UNSIGNALIZED INTERSECTIONS",Grades!$I$23:$O$23,IF($B$7="SIGNALIZED INTERSECTIONS",Grades!$I$45:$O$45,Grades!$I$67:$O$67))</xm:f>
          </x14:formula1>
          <xm:sqref>F26</xm:sqref>
        </x14:dataValidation>
        <x14:dataValidation type="list" allowBlank="1" showInputMessage="1" showErrorMessage="1">
          <x14:formula1>
            <xm:f>IF($B$7="UNSIGNALIZED INTERSECTIONS",Grades!$I$22:$O$22,IF($B$7="SIGNALIZED INTERSECTIONS",Grades!$I$44:$O$44,Grades!$I$66:$O$66))</xm:f>
          </x14:formula1>
          <xm:sqref>F24</xm:sqref>
        </x14:dataValidation>
        <x14:dataValidation type="list" allowBlank="1" showInputMessage="1" showErrorMessage="1">
          <x14:formula1>
            <xm:f>IF($B$7="UNSIGNALIZED INTERSECTIONS",Grades!$I$21:$O$21,IF($B$7="SIGNALIZED INTERSECTIONS",Grades!$I$43:$O$43,Grades!$I$65:$O$65))</xm:f>
          </x14:formula1>
          <xm:sqref>F22</xm:sqref>
        </x14:dataValidation>
        <x14:dataValidation type="list" allowBlank="1" showInputMessage="1" showErrorMessage="1">
          <x14:formula1>
            <xm:f>IF($B$7="UNSIGNALIZED INTERSECTIONS",Grades!$I$20:$O$20,IF($B$7="SIGNALIZED INTERSECTIONS",Grades!$I$42:$O$42,Grades!$I$64:$O$64))</xm:f>
          </x14:formula1>
          <xm:sqref>E28</xm:sqref>
        </x14:dataValidation>
        <x14:dataValidation type="list" allowBlank="1" showInputMessage="1" showErrorMessage="1">
          <x14:formula1>
            <xm:f>IF($B$7="UNSIGNALIZED INTERSECTIONS",Grades!$I$19:$O$19,IF($B$7="SIGNALIZED INTERSECTIONS",Grades!$I$41:$O$41,Grades!$I$63:$O$63))</xm:f>
          </x14:formula1>
          <xm:sqref>E26</xm:sqref>
        </x14:dataValidation>
        <x14:dataValidation type="list" allowBlank="1" showInputMessage="1" showErrorMessage="1">
          <x14:formula1>
            <xm:f>IF($B$7="UNSIGNALIZED INTERSECTIONS",Grades!$I$18:$O$18,IF($B$7="SIGNALIZED INTERSECTIONS",Grades!$I$40:$O$40,Grades!$I$62:$O$62))</xm:f>
          </x14:formula1>
          <xm:sqref>E24</xm:sqref>
        </x14:dataValidation>
        <x14:dataValidation type="list" allowBlank="1" showInputMessage="1" showErrorMessage="1">
          <x14:formula1>
            <xm:f>IF($B$7="UNSIGNALIZED INTERSECTIONS",Grades!$I$17:$O$17,IF($B$7="SIGNALIZED INTERSECTIONS",Grades!$I$39:$O$39,Grades!$I$61:$O$61))</xm:f>
          </x14:formula1>
          <xm:sqref>E22</xm:sqref>
        </x14:dataValidation>
        <x14:dataValidation type="list" allowBlank="1" showInputMessage="1" showErrorMessage="1">
          <x14:formula1>
            <xm:f>IF($B$7="UNSIGNALIZED INTERSECTIONS",Grades!$I$16:$O$16,IF($B$7="SIGNALIZED INTERSECTIONS",Grades!$I$38:$O$38,Grades!$I$60:$O$60))</xm:f>
          </x14:formula1>
          <xm:sqref>D28</xm:sqref>
        </x14:dataValidation>
        <x14:dataValidation type="list" allowBlank="1" showInputMessage="1" showErrorMessage="1">
          <x14:formula1>
            <xm:f>IF($B$7="UNSIGNALIZED INTERSECTIONS",Grades!$I$15:$O$15,IF($B$7="SIGNALIZED INTERSECTIONS",Grades!$I$37:$O$37,Grades!$I$59:$O$59))</xm:f>
          </x14:formula1>
          <xm:sqref>D26</xm:sqref>
        </x14:dataValidation>
        <x14:dataValidation type="list" allowBlank="1" showInputMessage="1" showErrorMessage="1">
          <x14:formula1>
            <xm:f>IF($B$7="UNSIGNALIZED INTERSECTIONS",Grades!$I$14:$O$14,IF($B$7="SIGNALIZED INTERSECTIONS",Grades!$I$36:$O$36,Grades!$I$58:$O$58))</xm:f>
          </x14:formula1>
          <xm:sqref>D24</xm:sqref>
        </x14:dataValidation>
        <x14:dataValidation type="list" allowBlank="1" showInputMessage="1" showErrorMessage="1">
          <x14:formula1>
            <xm:f>IF($B$7="UNSIGNALIZED INTERSECTIONS",Grades!$I$13:$O$13,IF($B$7="SIGNALIZED INTERSECTIONS",Grades!$I$35:$O$35,Grades!$I$57:$O$57))</xm:f>
          </x14:formula1>
          <xm:sqref>D22</xm:sqref>
        </x14:dataValidation>
        <x14:dataValidation type="list" allowBlank="1" showInputMessage="1" showErrorMessage="1">
          <x14:formula1>
            <xm:f>IF($B$7="UNSIGNALIZED INTERSECTIONS",Grades!$I$6:$O$6,IF($B$7="SIGNALIZED INTERSECTIONS",Grades!$I$28:$O$28,Grades!$I$50:$O$50))</xm:f>
          </x14:formula1>
          <xm:sqref>B24</xm:sqref>
        </x14:dataValidation>
        <x14:dataValidation type="list" allowBlank="1" showInputMessage="1" showErrorMessage="1">
          <x14:formula1>
            <xm:f>IF($B$7="UNSIGNALIZED INTERSECTIONS",Grades!$I$5:$O$5,IF($B$7="SIGNALIZED INTERSECTIONS",Grades!$I$27:$O$27,Grades!$I$49:$O$49))</xm:f>
          </x14:formula1>
          <xm:sqref>B22</xm:sqref>
        </x14:dataValidation>
        <x14:dataValidation type="list" allowBlank="1" showInputMessage="1" showErrorMessage="1">
          <x14:formula1>
            <xm:f>IF($B$7="UNSIGNALIZED INTERSECTIONS",Grades!$J$11:$O$11,IF($B$7="SIGNALIZED INTERSECTIONS",Grades!$J$33:$O$33,Grades!$J$55:$O$55))</xm:f>
          </x14:formula1>
          <xm:sqref>C26</xm:sqref>
        </x14:dataValidation>
        <x14:dataValidation type="list" allowBlank="1" showInputMessage="1" showErrorMessage="1">
          <x14:formula1>
            <xm:f>IF($B$7="UNSIGNALIZED INTERSECTIONS",Grades!$J$9:$O$9,IF($B$7="SIGNALIZED INTERSECTIONS",Grades!$J$31:$O$31,Grades!$J$53:$O$53))</xm:f>
          </x14:formula1>
          <xm:sqref>C22</xm:sqref>
        </x14:dataValidation>
        <x14:dataValidation type="list" allowBlank="1" showInputMessage="1" showErrorMessage="1">
          <x14:formula1>
            <xm:f>IF($B$7="UNSIGNALIZED INTERSECTIONS",Grades!$J$10:$O$10,IF($B$7="SIGNALIZED INTERSECTIONS",Grades!$J$32:$O$32,Grades!$J$54:$O$54))</xm:f>
          </x14:formula1>
          <xm:sqref>C24</xm:sqref>
        </x14:dataValidation>
        <x14:dataValidation type="list" allowBlank="1" showInputMessage="1" showErrorMessage="1">
          <x14:formula1>
            <xm:f>IF($B$7="UNSIGNALIZED INTERSECTIONS","",IF($B$7="SIGNALIZED INTERSECTIONS",Grades!$J$30:$O$30,""))</xm:f>
          </x14:formula1>
          <xm:sqref>B28</xm:sqref>
        </x14:dataValidation>
        <x14:dataValidation type="list" allowBlank="1" showInputMessage="1" showErrorMessage="1">
          <x14:formula1>
            <xm:f>Targets!$D$7:$D$15</xm:f>
          </x14:formula1>
          <xm:sqref>B4:F4</xm:sqref>
        </x14:dataValidation>
        <x14:dataValidation type="list" allowBlank="1" showInputMessage="1" showErrorMessage="1">
          <x14:formula1>
            <xm:f>'AT Check'!$C$3:$D$3</xm:f>
          </x14:formula1>
          <xm:sqref>F15:F16</xm:sqref>
        </x14:dataValidation>
        <x14:dataValidation type="list" allowBlank="1" showInputMessage="1" showErrorMessage="1">
          <x14:formula1>
            <xm:f>Grades!$R$9:$R$11</xm:f>
          </x14:formula1>
          <xm:sqref>B7:F7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4C064"/>
  </sheetPr>
  <dimension ref="A1:M27"/>
  <sheetViews>
    <sheetView workbookViewId="0"/>
  </sheetViews>
  <sheetFormatPr defaultRowHeight="14.4" x14ac:dyDescent="0.3"/>
  <cols>
    <col min="1" max="1" width="45" customWidth="1"/>
    <col min="2" max="6" width="38.5546875" customWidth="1"/>
  </cols>
  <sheetData>
    <row r="1" spans="1:13" ht="15.6" x14ac:dyDescent="0.3">
      <c r="A1" s="52" t="s">
        <v>87</v>
      </c>
      <c r="B1" s="53"/>
      <c r="C1" s="53"/>
      <c r="D1" s="53"/>
      <c r="E1" s="53"/>
      <c r="F1" s="53"/>
      <c r="L1" s="257"/>
      <c r="M1" s="257"/>
    </row>
    <row r="2" spans="1:13" ht="34.200000000000003" thickBot="1" x14ac:dyDescent="0.35">
      <c r="A2" s="296" t="s">
        <v>14</v>
      </c>
      <c r="B2" s="297" t="str">
        <f>B13</f>
        <v/>
      </c>
      <c r="C2" s="297" t="str">
        <f t="shared" ref="C2:F2" si="0">C13</f>
        <v/>
      </c>
      <c r="D2" s="297" t="str">
        <f t="shared" si="0"/>
        <v>C</v>
      </c>
      <c r="E2" s="297" t="str">
        <f t="shared" si="0"/>
        <v>E</v>
      </c>
      <c r="F2" s="297" t="str">
        <f t="shared" si="0"/>
        <v/>
      </c>
    </row>
    <row r="3" spans="1:13" ht="24.6" thickTop="1" thickBot="1" x14ac:dyDescent="0.35">
      <c r="A3" s="299" t="s">
        <v>13</v>
      </c>
      <c r="B3" s="393" t="s">
        <v>269</v>
      </c>
      <c r="C3" s="393"/>
      <c r="D3" s="393"/>
      <c r="E3" s="393"/>
      <c r="F3" s="393"/>
    </row>
    <row r="4" spans="1:13" ht="22.2" thickTop="1" thickBot="1" x14ac:dyDescent="0.35">
      <c r="A4" s="54" t="s">
        <v>22</v>
      </c>
      <c r="B4" s="395" t="s">
        <v>194</v>
      </c>
      <c r="C4" s="395"/>
      <c r="D4" s="395"/>
      <c r="E4" s="395"/>
      <c r="F4" s="395"/>
    </row>
    <row r="5" spans="1:13" ht="65.55" customHeight="1" thickTop="1" x14ac:dyDescent="0.3">
      <c r="A5" s="55" t="s">
        <v>28</v>
      </c>
      <c r="B5" s="56"/>
      <c r="C5" s="57"/>
      <c r="D5" s="57"/>
      <c r="E5" s="57"/>
      <c r="F5" s="58"/>
    </row>
    <row r="6" spans="1:13" ht="23.4" x14ac:dyDescent="0.3">
      <c r="A6" s="397"/>
      <c r="B6" s="397"/>
      <c r="C6" s="397"/>
      <c r="D6" s="397"/>
      <c r="E6" s="397"/>
      <c r="F6" s="397"/>
    </row>
    <row r="7" spans="1:13" ht="23.4" x14ac:dyDescent="0.3">
      <c r="A7" s="237" t="s">
        <v>176</v>
      </c>
      <c r="B7" s="400" t="s">
        <v>180</v>
      </c>
      <c r="C7" s="400"/>
      <c r="D7" s="400"/>
      <c r="E7" s="400"/>
      <c r="F7" s="400"/>
    </row>
    <row r="8" spans="1:13" ht="33.6" x14ac:dyDescent="0.3">
      <c r="A8" s="59" t="s">
        <v>15</v>
      </c>
      <c r="B8" s="60" t="str">
        <f>_xlfn.IFNA(VLOOKUP(IF(OR(AND(B9="Upwards",B11="None"),AND(B11="Upwards",B9="None")),INDEX(Grades!R17:S22,MATCH(VLOOKUP($B$4,Targets!$D$6:$I$15,2,FALSE),Grades!R17:R22,0)-1,2),IF(OR(AND(B9="Downwards",B11="None"),AND(B9="Downwards",B11="None")),INDEX(Grades!R17:S22,MATCH(VLOOKUP($B$4,Targets!$D$6:$I$15,2,FALSE),Grades!R17:R22,0)+1,2),IF(AND(B11="Upwards",B9="Upwards"),INDEX(Grades!R17:S22,MATCH(VLOOKUP($B$4,Targets!$D$6:$I$15,2,FALSE),Grades!R17:R22,0)-2,2),IF(AND(B9="Downwards",B11="Downwards"),INDEX(Grades!R17:S22,MATCH(VLOOKUP($B$4,Targets!$D$6:$I$15,2,FALSE),Grades!R17:R22,0)+2,2),INDEX(Grades!R17:S22,MATCH(VLOOKUP($B$4,Targets!$D$6:$I$15,2,FALSE),Grades!R17:R22,0),2))))),Grades!S17:T22,2,FALSE),"")</f>
        <v>E</v>
      </c>
      <c r="C8" s="60" t="s">
        <v>2</v>
      </c>
      <c r="D8" s="60" t="s">
        <v>4</v>
      </c>
      <c r="E8" s="60" t="s">
        <v>175</v>
      </c>
      <c r="F8" s="60" t="s">
        <v>4</v>
      </c>
      <c r="K8" s="292"/>
    </row>
    <row r="9" spans="1:13" ht="33.6" x14ac:dyDescent="0.3">
      <c r="A9" s="59" t="s">
        <v>265</v>
      </c>
      <c r="B9" s="258" t="s">
        <v>236</v>
      </c>
      <c r="C9" s="258" t="s">
        <v>236</v>
      </c>
      <c r="D9" s="258" t="s">
        <v>236</v>
      </c>
      <c r="E9" s="258" t="s">
        <v>236</v>
      </c>
      <c r="F9" s="258" t="s">
        <v>236</v>
      </c>
    </row>
    <row r="10" spans="1:13" ht="23.4" x14ac:dyDescent="0.3">
      <c r="A10" s="59" t="s">
        <v>237</v>
      </c>
      <c r="B10" s="298"/>
      <c r="C10" s="298"/>
      <c r="D10" s="298"/>
      <c r="E10" s="298"/>
      <c r="F10" s="298"/>
    </row>
    <row r="11" spans="1:13" ht="33.6" x14ac:dyDescent="0.3">
      <c r="A11" s="59" t="s">
        <v>264</v>
      </c>
      <c r="B11" s="258" t="s">
        <v>236</v>
      </c>
      <c r="C11" s="258" t="s">
        <v>236</v>
      </c>
      <c r="D11" s="258" t="s">
        <v>236</v>
      </c>
      <c r="E11" s="258" t="s">
        <v>236</v>
      </c>
      <c r="F11" s="258" t="s">
        <v>236</v>
      </c>
    </row>
    <row r="12" spans="1:13" ht="23.4" x14ac:dyDescent="0.3">
      <c r="A12" s="59" t="s">
        <v>237</v>
      </c>
      <c r="B12" s="298"/>
      <c r="C12" s="298"/>
      <c r="D12" s="298"/>
      <c r="E12" s="298"/>
      <c r="F12" s="298"/>
    </row>
    <row r="13" spans="1:13" ht="34.200000000000003" thickBot="1" x14ac:dyDescent="0.35">
      <c r="A13" s="59" t="s">
        <v>14</v>
      </c>
      <c r="B13" s="261" t="str">
        <f>_xlfn.IFNA(VLOOKUP(IF(B7="UNSIGNALIZED INTERSECTIONS",ROUND(((IF(B21="",0,INDEX(Grades!$R$17:$T$22,MATCH(B21,Grades!$J5:$O5,0),2))*VLOOKUP('Unsignalized Inter'!B20,Grades!$G5:$I24,2,FALSE))+((IF(B23="",0,INDEX(Grades!$R$17:$T$22,MATCH(B23,Grades!$J6:$O6,0),2)))*VLOOKUP('Unsignalized Inter'!B22,Grades!$G5:$I24,2,FALSE))+((IF(B25="",0,INDEX(Grades!$R$17:$T$22,MATCH(B25,Grades!$J7:$O7,0),2)))*IF(B24="",0,VLOOKUP('Unsignalized Inter'!B24,Grades!$G5:$I24,2,FALSE)))+((IF(B27="",0,INDEX(Grades!$R$17:$T$22,MATCH(B27,Grades!$J8:$O8,0),2)))*IF(B26="",0,VLOOKUP('Unsignalized Inter'!B26,Grades!$G5:$I24,2,FALSE)))),0),IF(B7="SIGNALIZED INTERSECTIONS",ROUND((IF(B21="",0,INDEX(Grades!$R$17:$T$22,MATCH(B21,Grades!$J27:$O27,0),2)*VLOOKUP('Unsignalized Inter'!B20,Grades!$G27:$H46,2,FALSE))+(IF(B23="",0,INDEX(Grades!$R$17:$T$22,MATCH(B23,Grades!$J28:$O28,0),2)*VLOOKUP('Unsignalized Inter'!B22,Grades!$G27:$H46,2,FALSE)))+(IF(B25="",0,INDEX(Grades!$R$17:$T$22,MATCH(B25,Grades!$J29:$O29,0),2))*IF(B24="",0,VLOOKUP('Unsignalized Inter'!B24,Grades!$G27:$H46,2,FALSE)))+(IF(B27="",0,INDEX(Grades!$R$17:$T$22,MATCH(B27,Grades!$J30:$O30,0),2))*IF(B26="",0,VLOOKUP('Unsignalized Inter'!B26,Grades!$G27:$H46,2,FALSE)))),0),ROUND((IF(B21="",0,INDEX(Grades!$R$17:$T$22,MATCH(B21,Grades!$J49:$O49,0),2)*VLOOKUP('Unsignalized Inter'!B20,Grades!$G49:$H68,2,FALSE))+(IF(B23="",0,INDEX(Grades!$R$17:$T$22,MATCH(B23,Grades!$J50:$O50,0),2)*VLOOKUP('Unsignalized Inter'!B22,Grades!$G49:$H68,2,FALSE)))+(IF(B25="",0,INDEX(Grades!$R$17:$T$22,MATCH(B25,Grades!$J51:$O51,0),2)*IF(B24="",0,VLOOKUP('Unsignalized Inter'!B24,Grades!$G49:$H68,2,FALSE))))+(IF(B27="",0,INDEX(Grades!$R$17:$T$22,MATCH(B27,Grades!$J52:$O52,0),2)*IF(B26="",0,VLOOKUP('Unsignalized Inter'!B26,Grades!$G49:$H68,2,FALSE))))),0))),Grades!$S$17:$T$22,2,FALSE),"")</f>
        <v/>
      </c>
      <c r="C13" s="261" t="str">
        <f>_xlfn.IFNA(VLOOKUP(IF(B7="UNSIGNALIZED INTERSECTIONS",ROUND(((IF(C21="",0,INDEX(Grades!$R$17:$T$22,MATCH(C21,Grades!$J9:$O9,0),2))*VLOOKUP('Unsignalized Inter'!C20,Grades!G5:I24,2,FALSE))+((IF(C23="",0,INDEX(Grades!$R$17:$T$22,MATCH(C23,Grades!$J10:$O10,0),2)))*VLOOKUP('Unsignalized Inter'!C22,Grades!G5:I24,2,FALSE))+((IF(C25="",0,INDEX(Grades!$R$17:$T$22,MATCH(C25,Grades!$J11:$O11,0),2)))*IF(C24="",0,VLOOKUP('Unsignalized Inter'!C24,Grades!G5:I24,2,FALSE)))+((IF(C27="",0,INDEX(Grades!$R$17:$T$22,MATCH(C27,Grades!$J12:$O12,0),2)))*IF(C26="",0,VLOOKUP('Unsignalized Inter'!C26,Grades!G5:I24,2,FALSE)))),0),IF(B7="SIGNALIZED INTERSECTIONS",ROUND((IF(C21="",0,INDEX(Grades!$R$17:$T$22,MATCH(C21,Grades!$J31:$O31,0),2)*VLOOKUP('Unsignalized Inter'!C20,Grades!G27:I46,2,FALSE))+(IF(C23="",0,INDEX(Grades!$R$17:$T$22,MATCH(C23,Grades!$J32:$O32,0),2)*VLOOKUP('Unsignalized Inter'!C22,Grades!G27:I46,2,FALSE)))+(IF(C25="",0,INDEX(Grades!$R$17:$T$22,MATCH(C25,Grades!$J33:$O33,0),2))*IF(C24="",0,VLOOKUP('Unsignalized Inter'!C24,Grades!G27:I46,2,FALSE)))+(IF(C27="",0,INDEX(Grades!$R$17:$T$22,MATCH(C27,Grades!$J34:$O34,0),2))*IF(C26="",0,VLOOKUP('Unsignalized Inter'!C26,Grades!G27:I46,2,FALSE)))),0),ROUND((IF(C21="",0,INDEX(Grades!$R$17:$T$22,MATCH(C21,Grades!$J53:$O53,0),2)*VLOOKUP('Unsignalized Inter'!C20,Grades!G49:I68,2,FALSE))+(IF(C23="",0,INDEX(Grades!$R$17:$T$22,MATCH(C23,Grades!$J54:$O54,0),2)*VLOOKUP('Unsignalized Inter'!C22,Grades!G49:I68,2,FALSE)))+(IF(C25="",0,INDEX(Grades!$R$17:$T$22,MATCH(C25,Grades!$J55:$O55,0),2)*IF(C24="",0,VLOOKUP('Unsignalized Inter'!C24,Grades!G49:I68,2,FALSE))))+(IF(C27="",0,INDEX(Grades!$R$17:$T$22,MATCH(C27,Grades!$J56:$O56,0),2)*IF(C26="",0,VLOOKUP('Unsignalized Inter'!C26,Grades!G49:I68,2,FALSE))))),0))),Grades!$S$17:$T$22,2,FALSE),"")</f>
        <v/>
      </c>
      <c r="D13" s="261" t="str">
        <f>_xlfn.IFNA(VLOOKUP(IF(B7="UNSIGNALIZED INTERSECTIONS",ROUND(((IF(D21="",0,INDEX(Grades!$R$17:$T$22,MATCH(D21,Grades!$J13:$O13,0),2))*VLOOKUP('Unsignalized Inter'!D20,Grades!$G5:$I24,2,FALSE))+((IF(D23="",0,INDEX(Grades!$R$17:$T$22,MATCH(D23,Grades!$J14:$O14,0),2)))*VLOOKUP('Unsignalized Inter'!D22,Grades!$G5:$I24,2,FALSE))+((IF(D25="",0,INDEX(Grades!$R$17:$T$22,MATCH(D25,Grades!$J15:$O15,0),2)))*IF(D24="",0,VLOOKUP('Unsignalized Inter'!D24,Grades!$G5:$I24,2,FALSE)))+((IF(D27="",0,INDEX(Grades!$R$17:$T$22,MATCH(D27,Grades!$J16:$O16,0),2)))*IF(D26="",0,VLOOKUP('Unsignalized Inter'!D26,Grades!$G5:$I24,2,FALSE)))),0),IF(B7="SIGNALIZED INTERSECTIONS",ROUND((IF(D21="",0,INDEX(Grades!$R$17:$T$22,MATCH(D21,Grades!$J35:$O35,0),2)*VLOOKUP('Unsignalized Inter'!D20,Grades!$G27:$H46,2,FALSE))+(IF(D23="",0,INDEX(Grades!$R$17:$T$22,MATCH(D23,Grades!$J36:$O36,0),2)*VLOOKUP('Unsignalized Inter'!D22,Grades!$G27:$H46,2,FALSE)))+(IF(D25="",0,INDEX(Grades!$R$17:$T$22,MATCH(D25,Grades!$J37:$O37,0),2))*IF(D24="",0,VLOOKUP('Unsignalized Inter'!D24,Grades!$G27:$H46,2,FALSE)))+(IF(D27="",0,INDEX(Grades!$R$17:$T$22,MATCH(D27,Grades!$J38:$O38,0),2))*IF(D26="",0,VLOOKUP('Unsignalized Inter'!D26,Grades!$G27:$H46,2,FALSE)))),0),ROUND((IF(D21="",0,INDEX(Grades!$R$17:$T$22,MATCH(D21,Grades!$J57:$O57,0),2)*VLOOKUP('Unsignalized Inter'!D20,Grades!$G49:$H68,2,FALSE))+(IF(D23="",0,INDEX(Grades!$R$17:$T$22,MATCH(D23,Grades!$J58:$O58,0),2)*VLOOKUP('Unsignalized Inter'!D22,Grades!$G49:$H68,2,FALSE)))+(IF(D25="",0,INDEX(Grades!$R$17:$T$22,MATCH(D25,Grades!$J59:$O59,0),2)*IF(D24="",0,VLOOKUP('Unsignalized Inter'!D24,Grades!$G49:$H68,2,FALSE))))+(IF(D27="",0,INDEX(Grades!$R$17:$T$22,MATCH(D27,Grades!$J60:$O60,0),2)*IF(D26="",0,VLOOKUP('Unsignalized Inter'!D26,Grades!$G49:$H68,2,FALSE))))),0))),Grades!$S$17:$T$22,2,FALSE),"")</f>
        <v>C</v>
      </c>
      <c r="E13" s="261" t="str">
        <f>_xlfn.IFNA(VLOOKUP(IF(B7="UNSIGNALIZED INTERSECTIONS",ROUND(((IF(E21="",0,INDEX(Grades!$R$17:$T$22,MATCH(E21,Grades!$J17:$O17,0),2))*VLOOKUP('Unsignalized Inter'!E20,Grades!$G5:$I24,2,FALSE))+((IF(E23="",0,INDEX(Grades!$R$17:$T$22,MATCH(E23,Grades!$J18:$O18,0),2)))*VLOOKUP('Unsignalized Inter'!E22,Grades!$G5:$I24,2,FALSE))+((IF(E25="",0,INDEX(Grades!$R$17:$T$22,MATCH(E25,Grades!$J19:$O19,0),2)))*IF(E24="",0,VLOOKUP('Unsignalized Inter'!E24,Grades!$G5:$I24,2,FALSE)))+((IF(E27="",0,INDEX(Grades!$R$17:$T$22,MATCH(E27,Grades!$J20:$O20,0),2)))*IF(E26="",0,VLOOKUP('Unsignalized Inter'!E26,Grades!$G5:$I24,2,FALSE)))),0),IF(B7="SIGNALIZED INTERSECTIONS",ROUND((IF(E21="",0,INDEX(Grades!$R$17:$T$22,MATCH(E21,Grades!$J39:$O39,0),2)*VLOOKUP('Unsignalized Inter'!E20,Grades!$G27:$H46,2,FALSE))+(IF(E23="",0,INDEX(Grades!$R$17:$T$22,MATCH(E23,Grades!$J40:$O40,0),2)*VLOOKUP('Unsignalized Inter'!E22,Grades!$G27:$H46,2,FALSE)))+(IF(E25="",0,INDEX(Grades!$R$17:$T$22,MATCH(E25,Grades!$J41:$O41,0),2))*IF(E24="",0,VLOOKUP('Unsignalized Inter'!E24,Grades!$G27:$H46,2,FALSE)))+(IF(E27="",0,INDEX(Grades!$R$17:$T$22,MATCH(E27,Grades!$J42:$O42,0),2))*IF(E26="",0,VLOOKUP('Unsignalized Inter'!E26,Grades!$G27:$H46,2,FALSE)))),0),ROUND((IF(E21="",0,INDEX(Grades!$R$17:$T$22,MATCH(E21,Grades!$J61:$O61,0),2)*VLOOKUP('Unsignalized Inter'!E20,Grades!$G49:$H68,2,FALSE))+(IF(E23="",0,INDEX(Grades!$R$17:$T$22,MATCH(E23,Grades!$J62:$O62,0),2)*VLOOKUP('Unsignalized Inter'!E22,Grades!$G49:$H68,2,FALSE)))+(IF(E25="",0,INDEX(Grades!$R$17:$T$22,MATCH(E25,Grades!$J63:$O63,0),2)*IF(E24="",0,VLOOKUP('Unsignalized Inter'!E24,Grades!$G49:$H68,2,FALSE))))+(IF(E27="",0,INDEX(Grades!$R$17:$T$22,MATCH(E27,Grades!$J64:$O64,0),2)*IF(E26="",0,VLOOKUP('Unsignalized Inter'!E26,Grades!$G49:$H68,2,FALSE))))),0))),Grades!$S$17:$T$22,2,FALSE),"")</f>
        <v>E</v>
      </c>
      <c r="F13" s="261" t="str">
        <f>_xlfn.IFNA(VLOOKUP(IF(B7="UNSIGNALIZED INTERSECTIONS",ROUND(((IF(F21="",0,INDEX(Grades!$R$17:$T$22,MATCH(F21,Grades!$J21:$O21,0),2))*VLOOKUP('Unsignalized Inter'!F20,Grades!$G5:$I24,2,FALSE))+((IF(F23="",0,INDEX(Grades!$R$17:$T$22,MATCH(F23,Grades!$J22:$O22,0),2)))*VLOOKUP('Unsignalized Inter'!F22,Grades!$G5:$I24,2,FALSE))+((IF(F25="",0,INDEX(Grades!$R$17:$T$22,MATCH(F25,Grades!$J23:$O23,0),2)))*IF(F24="",0,VLOOKUP('Unsignalized Inter'!F24,Grades!$G5:$I24,2,FALSE)))+((IF(F27="",0,INDEX(Grades!$R$17:$T$22,MATCH(F27,Grades!$J24:$O24,0),2)))*IF(F26="",0,VLOOKUP('Unsignalized Inter'!F26,Grades!$G5:$I24,2,FALSE)))),0),IF(B7="SIGNALIZED INTERSECTIONS",ROUND((IF(F21="",0,INDEX(Grades!$R$17:$T$22,MATCH(F21,Grades!$J43:$O43,0),2)*VLOOKUP('Unsignalized Inter'!F20,Grades!$G27:$H46,2,FALSE))+(IF(F23="",0,INDEX(Grades!$R$17:$T$22,MATCH(F23,Grades!$J44:$O44,0),2)*VLOOKUP('Unsignalized Inter'!F22,Grades!$G27:$H46,2,FALSE)))+(IF(F25="",0,INDEX(Grades!$R$17:$T$22,MATCH(F25,Grades!$J45:$O45,0),2))*IF(F24="",0,VLOOKUP('Unsignalized Inter'!F24,Grades!$G27:$H46,2,FALSE)))+(IF(F27="",0,INDEX(Grades!$R$17:$T$22,MATCH(F27,Grades!$J46:$O46,0),2))*IF(F26="",0,VLOOKUP('Unsignalized Inter'!F26,Grades!$G27:$H46,2,FALSE)))),0),ROUND((IF(F21="",0,INDEX(Grades!$R$17:$T$22,MATCH(F21,Grades!$J65:$O65,0),2)*VLOOKUP('Unsignalized Inter'!F20,Grades!$G49:$H68,2,FALSE))+(IF(F23="",0,INDEX(Grades!$R$17:$T$22,MATCH(F23,Grades!$J66:$O66,0),2)*VLOOKUP('Unsignalized Inter'!F22,Grades!$G49:$H68,2,FALSE)))+(IF(F25="",0,INDEX(Grades!$R$17:$T$22,MATCH(F25,Grades!$J67:$O67,0),2)*IF(F24="",0,VLOOKUP('Unsignalized Inter'!F24,Grades!$G49:$H68,2,FALSE))))+(IF(F27="",0,INDEX(Grades!$R$17:$T$22,MATCH(F27,Grades!$J68:$O68,0),2)*IF(F26="",0,VLOOKUP('Unsignalized Inter'!F26,Grades!$G49:$H68,2,FALSE))))),0))),Grades!$S$17:$T$22,2,FALSE),"")</f>
        <v/>
      </c>
    </row>
    <row r="14" spans="1:13" ht="23.55" customHeight="1" thickTop="1" thickBot="1" x14ac:dyDescent="0.35">
      <c r="A14" s="402" t="s">
        <v>246</v>
      </c>
      <c r="B14" s="403"/>
      <c r="C14" s="403"/>
      <c r="D14" s="403"/>
      <c r="E14" s="403"/>
      <c r="F14" s="404"/>
    </row>
    <row r="15" spans="1:13" ht="79.95" customHeight="1" thickTop="1" thickBot="1" x14ac:dyDescent="0.35">
      <c r="A15" s="264" t="str">
        <f>IF(B7="SEGMENTS",'AT Check'!B5,'AT Check'!B7)</f>
        <v>Are marked pedestrian crossings provided to connect all approaching pedestrian facilities?</v>
      </c>
      <c r="B15" s="422" t="s">
        <v>21</v>
      </c>
      <c r="C15" s="423"/>
      <c r="D15" s="423"/>
      <c r="E15" s="423"/>
      <c r="F15" s="424"/>
    </row>
    <row r="16" spans="1:13" ht="79.95" customHeight="1" thickTop="1" thickBot="1" x14ac:dyDescent="0.35">
      <c r="A16" s="264" t="str">
        <f>IF(B7="SEGMENTS",'AT Check'!B6,'AT Check'!B8)</f>
        <v>Does the approaching bike facility continue at a consistent width up to the edge of the intersection (crosswalk or curb edge of intersecting roadway)?</v>
      </c>
      <c r="B16" s="422" t="s">
        <v>21</v>
      </c>
      <c r="C16" s="423"/>
      <c r="D16" s="423"/>
      <c r="E16" s="423"/>
      <c r="F16" s="424"/>
    </row>
    <row r="17" spans="1:6" ht="79.95" customHeight="1" thickTop="1" thickBot="1" x14ac:dyDescent="0.35">
      <c r="A17" s="264" t="str">
        <f>IF(B7="SEGMENTS","-",'AT Check'!B9)</f>
        <v>Is a continuous amount of space and accompanying pavement makings delineated for cyclists through the intersection?</v>
      </c>
      <c r="B17" s="422" t="s">
        <v>21</v>
      </c>
      <c r="C17" s="423"/>
      <c r="D17" s="423"/>
      <c r="E17" s="423"/>
      <c r="F17" s="424"/>
    </row>
    <row r="18" spans="1:6" ht="79.95" customHeight="1" thickTop="1" thickBot="1" x14ac:dyDescent="0.35">
      <c r="A18" s="264" t="str">
        <f>IF(B7="SEGMENTS","-",'AT Check'!B10)</f>
        <v>Does the intersection design provide features which facilitate all the intended turn movements for cyclists (e.g. bike boxes, queuing space, protected intersection, etc)?</v>
      </c>
      <c r="B18" s="422" t="s">
        <v>21</v>
      </c>
      <c r="C18" s="423"/>
      <c r="D18" s="423"/>
      <c r="E18" s="423"/>
      <c r="F18" s="424"/>
    </row>
    <row r="19" spans="1:6" ht="30" customHeight="1" thickTop="1" x14ac:dyDescent="0.3">
      <c r="A19" s="405" t="s">
        <v>247</v>
      </c>
      <c r="B19" s="405"/>
      <c r="C19" s="405"/>
      <c r="D19" s="405"/>
      <c r="E19" s="405"/>
      <c r="F19" s="405"/>
    </row>
    <row r="20" spans="1:6" ht="49.95" customHeight="1" x14ac:dyDescent="0.3">
      <c r="A20" s="421" t="s">
        <v>228</v>
      </c>
      <c r="B20" s="294" t="str">
        <f>IF(B7="SIGNALIZED INTERSECTIONS",Grades!G27,IF(B7="UNSIGNALIZED INTERSECTIONS",Grades!G5,Grades!G49))</f>
        <v>Average Crossing Distance (m)</v>
      </c>
      <c r="C20" s="294" t="str">
        <f>IF(B7="UNSIGNALIZED INTERSECTIONS",Grades!G9,IF(B7="SIGNALIZED INTERSECTIONS",Grades!G31,Grades!G53))</f>
        <v>Presence of Bicycle Facilities</v>
      </c>
      <c r="D20" s="294" t="str">
        <f>IF($B$7="UNSIGNALIZED INTERSECTIONS",Grades!G13,IF($B$7="SIGNALIZED INTERSECTIONS",Grades!$G$35,Grades!$G$57))</f>
        <v xml:space="preserve">Transit Movement Delay (s) </v>
      </c>
      <c r="E20" s="294" t="str">
        <f>IF($B$7="UNSIGNALIZED INTERSECTIONS",Grades!G17,IF($B$7="SIGNALIZED INTERSECTIONS",Grades!$G$39,Grades!$G$61))</f>
        <v xml:space="preserve">Average Effective Turning Radius 
(m) </v>
      </c>
      <c r="F20" s="294" t="str">
        <f>IF($B$7="UNSIGNALIZED INTERSECTIONS",Grades!G21,IF($B$7="SIGNALIZED INTERSECTIONS",Grades!$G$43,Grades!$G$65))</f>
        <v xml:space="preserve">Intersection Delay (s) </v>
      </c>
    </row>
    <row r="21" spans="1:6" ht="49.95" customHeight="1" x14ac:dyDescent="0.3">
      <c r="A21" s="421"/>
      <c r="B21" s="295" t="s">
        <v>250</v>
      </c>
      <c r="C21" s="295" t="s">
        <v>200</v>
      </c>
      <c r="D21" s="295" t="s">
        <v>38</v>
      </c>
      <c r="E21" s="295" t="s">
        <v>258</v>
      </c>
      <c r="F21" s="295" t="s">
        <v>167</v>
      </c>
    </row>
    <row r="22" spans="1:6" ht="49.95" customHeight="1" x14ac:dyDescent="0.3">
      <c r="A22" s="421" t="s">
        <v>229</v>
      </c>
      <c r="B22" s="294" t="str">
        <f>IF(B7="SIGNALIZED INTERSECTIONS",Grades!G28,IF(B7="UNSIGNALIZED INTERSECTIONS",Grades!G6,Grades!G50))</f>
        <v>Marked Crossings</v>
      </c>
      <c r="C22" s="294" t="str">
        <f>IF(B7="SIGNALIZED INTERSECTIONS",Grades!G32,IF(B7="UNSIGNALIZED INTERSECTIONS",Grades!G10,Grades!G54))</f>
        <v xml:space="preserve">Requirement to stop </v>
      </c>
      <c r="D22" s="294" t="str">
        <f>IF($B$7="UNSIGNALIZED INTERSECTIONS",Grades!G14,IF($B$7="SIGNALIZED INTERSECTIONS",Grades!$G$36,Grades!$G$58))</f>
        <v>Pedestrian Level of Service</v>
      </c>
      <c r="E22" s="294" t="str">
        <f>IF($B$7="UNSIGNALIZED INTERSECTIONS",Grades!G18,IF($B$7="SIGNALIZED INTERSECTIONS",Grades!$G$40,Grades!$G$62))</f>
        <v xml:space="preserve">Car Level of Service </v>
      </c>
      <c r="F22" s="294" t="str">
        <f>IF($B$7="UNSIGNALIZED INTERSECTIONS",Grades!G22,IF($B$7="SIGNALIZED INTERSECTIONS",Grades!$G$44,Grades!$G$66))</f>
        <v>-</v>
      </c>
    </row>
    <row r="23" spans="1:6" ht="49.95" customHeight="1" x14ac:dyDescent="0.3">
      <c r="A23" s="421"/>
      <c r="B23" s="295" t="s">
        <v>197</v>
      </c>
      <c r="C23" s="295" t="s">
        <v>263</v>
      </c>
      <c r="D23" s="295" t="s">
        <v>3</v>
      </c>
      <c r="E23" s="295" t="s">
        <v>3</v>
      </c>
      <c r="F23" s="295" t="s">
        <v>251</v>
      </c>
    </row>
    <row r="24" spans="1:6" ht="49.95" customHeight="1" x14ac:dyDescent="0.3">
      <c r="A24" s="421" t="s">
        <v>230</v>
      </c>
      <c r="B24" s="294" t="str">
        <f>IF(B7="SIGNALIZED INTERSECTIONS",Grades!G29,IF(B7="UNSIGNALIZED INTERSECTIONS",Grades!G7,Grades!G51))</f>
        <v xml:space="preserve">Average Effective Turning Radius 
(m) </v>
      </c>
      <c r="C24" s="294" t="str">
        <f>IF(B7="SIGNALIZED INTERSECTIONS",Grades!G33,IF(B7="UNSIGNALIZED INTERSECTIONS",Grades!G11,Grades!G55))</f>
        <v xml:space="preserve">Average Effective Turning Radius 
(m) </v>
      </c>
      <c r="D24" s="294" t="str">
        <f>IF($B$7="UNSIGNALIZED INTERSECTIONS",Grades!G15,IF($B$7="SIGNALIZED INTERSECTIONS",Grades!$G$37,Grades!$G$59))</f>
        <v>-</v>
      </c>
      <c r="E24" s="294" t="str">
        <f>IF($B$7="UNSIGNALIZED INTERSECTIONS",Grades!G19,IF($B$7="SIGNALIZED INTERSECTIONS",Grades!$G$41,Grades!$G$63))</f>
        <v>-</v>
      </c>
      <c r="F24" s="294" t="str">
        <f>IF($B$7="UNSIGNALIZED INTERSECTIONS",Grades!G23,IF($B$7="SIGNALIZED INTERSECTIONS",Grades!$G$45,Grades!$G$67))</f>
        <v>-</v>
      </c>
    </row>
    <row r="25" spans="1:6" ht="49.95" customHeight="1" x14ac:dyDescent="0.3">
      <c r="A25" s="421"/>
      <c r="B25" s="295" t="s">
        <v>252</v>
      </c>
      <c r="C25" s="295" t="s">
        <v>252</v>
      </c>
      <c r="D25" s="295"/>
      <c r="E25" s="295"/>
      <c r="F25" s="295"/>
    </row>
    <row r="26" spans="1:6" ht="49.95" customHeight="1" x14ac:dyDescent="0.3">
      <c r="A26" s="421" t="s">
        <v>231</v>
      </c>
      <c r="B26" s="294" t="str">
        <f>IF(B7="SIGNALIZED INTERSECTIONS",Grades!G30,IF(B7="UNSIGNALIZED INTERSECTIONS","",""))</f>
        <v/>
      </c>
      <c r="C26" s="294" t="str">
        <f>IF(B7="SIGNALIZED INTERSECTIONS",Grades!G34,IF(B7="UNSIGNALIZED INTERSECTIONS",Grades!G12,Grades!G56))</f>
        <v>-</v>
      </c>
      <c r="D26" s="294" t="str">
        <f>IF($B$7="UNSIGNALIZED INTERSECTIONS",Grades!G16,IF($B$7="SIGNALIZED INTERSECTIONS",Grades!$G$38,Grades!$G$60))</f>
        <v>-</v>
      </c>
      <c r="E26" s="294" t="str">
        <f>IF($B$7="UNSIGNALIZED INTERSECTIONS",Grades!G20,IF($B$7="SIGNALIZED INTERSECTIONS",Grades!$G$42,Grades!$G$64))</f>
        <v>-</v>
      </c>
      <c r="F26" s="294" t="str">
        <f>IF($B$7="UNSIGNALIZED INTERSECTIONS",Grades!G24,IF($B$7="SIGNALIZED INTERSECTIONS",Grades!$G$46,Grades!$G$68))</f>
        <v>-</v>
      </c>
    </row>
    <row r="27" spans="1:6" ht="49.95" customHeight="1" x14ac:dyDescent="0.3">
      <c r="A27" s="421"/>
      <c r="B27" s="295"/>
      <c r="C27" s="295"/>
      <c r="D27" s="295"/>
      <c r="E27" s="295"/>
      <c r="F27" s="295"/>
    </row>
  </sheetData>
  <mergeCells count="14">
    <mergeCell ref="B3:F3"/>
    <mergeCell ref="B4:F4"/>
    <mergeCell ref="A6:F6"/>
    <mergeCell ref="B7:F7"/>
    <mergeCell ref="A14:F14"/>
    <mergeCell ref="A20:A21"/>
    <mergeCell ref="A22:A23"/>
    <mergeCell ref="A24:A25"/>
    <mergeCell ref="A26:A27"/>
    <mergeCell ref="B15:F15"/>
    <mergeCell ref="B16:F16"/>
    <mergeCell ref="B17:F17"/>
    <mergeCell ref="B18:F18"/>
    <mergeCell ref="A19:F19"/>
  </mergeCells>
  <conditionalFormatting sqref="A5:F5 A4:B4 B1:F1 A8:A19">
    <cfRule type="cellIs" dxfId="183" priority="41" operator="equal">
      <formula>"F"</formula>
    </cfRule>
    <cfRule type="cellIs" dxfId="182" priority="42" operator="equal">
      <formula>"E"</formula>
    </cfRule>
    <cfRule type="cellIs" dxfId="181" priority="43" operator="equal">
      <formula>"D"</formula>
    </cfRule>
    <cfRule type="cellIs" dxfId="180" priority="44" operator="equal">
      <formula>"C"</formula>
    </cfRule>
    <cfRule type="cellIs" dxfId="179" priority="45" operator="equal">
      <formula>"B"</formula>
    </cfRule>
    <cfRule type="cellIs" dxfId="178" priority="46" operator="equal">
      <formula>"A"</formula>
    </cfRule>
  </conditionalFormatting>
  <conditionalFormatting sqref="A3">
    <cfRule type="cellIs" dxfId="177" priority="35" operator="equal">
      <formula>"F"</formula>
    </cfRule>
    <cfRule type="cellIs" dxfId="176" priority="36" operator="equal">
      <formula>"E"</formula>
    </cfRule>
    <cfRule type="cellIs" dxfId="175" priority="37" operator="equal">
      <formula>"D"</formula>
    </cfRule>
    <cfRule type="cellIs" dxfId="174" priority="38" operator="equal">
      <formula>"C"</formula>
    </cfRule>
    <cfRule type="cellIs" dxfId="173" priority="39" operator="equal">
      <formula>"B"</formula>
    </cfRule>
    <cfRule type="cellIs" dxfId="172" priority="40" operator="equal">
      <formula>"A"</formula>
    </cfRule>
  </conditionalFormatting>
  <conditionalFormatting sqref="B3">
    <cfRule type="cellIs" dxfId="171" priority="29" operator="equal">
      <formula>"F"</formula>
    </cfRule>
    <cfRule type="cellIs" dxfId="170" priority="30" operator="equal">
      <formula>"E"</formula>
    </cfRule>
    <cfRule type="cellIs" dxfId="169" priority="31" operator="equal">
      <formula>"D"</formula>
    </cfRule>
    <cfRule type="cellIs" dxfId="168" priority="32" operator="equal">
      <formula>"C"</formula>
    </cfRule>
    <cfRule type="cellIs" dxfId="167" priority="33" operator="equal">
      <formula>"B"</formula>
    </cfRule>
    <cfRule type="cellIs" dxfId="166" priority="34" operator="equal">
      <formula>"A"</formula>
    </cfRule>
  </conditionalFormatting>
  <conditionalFormatting sqref="A6:A7">
    <cfRule type="cellIs" dxfId="165" priority="23" operator="equal">
      <formula>"F"</formula>
    </cfRule>
    <cfRule type="cellIs" dxfId="164" priority="24" operator="equal">
      <formula>"E"</formula>
    </cfRule>
    <cfRule type="cellIs" dxfId="163" priority="25" operator="equal">
      <formula>"D"</formula>
    </cfRule>
    <cfRule type="cellIs" dxfId="162" priority="26" operator="equal">
      <formula>"C"</formula>
    </cfRule>
    <cfRule type="cellIs" dxfId="161" priority="27" operator="equal">
      <formula>"B"</formula>
    </cfRule>
    <cfRule type="cellIs" dxfId="160" priority="28" operator="equal">
      <formula>"A"</formula>
    </cfRule>
  </conditionalFormatting>
  <conditionalFormatting sqref="A1">
    <cfRule type="cellIs" dxfId="159" priority="17" operator="equal">
      <formula>"F"</formula>
    </cfRule>
    <cfRule type="cellIs" dxfId="158" priority="18" operator="equal">
      <formula>"E"</formula>
    </cfRule>
    <cfRule type="cellIs" dxfId="157" priority="19" operator="equal">
      <formula>"D"</formula>
    </cfRule>
    <cfRule type="cellIs" dxfId="156" priority="20" operator="equal">
      <formula>"C"</formula>
    </cfRule>
    <cfRule type="cellIs" dxfId="155" priority="21" operator="equal">
      <formula>"B"</formula>
    </cfRule>
    <cfRule type="cellIs" dxfId="154" priority="22" operator="equal">
      <formula>"A"</formula>
    </cfRule>
  </conditionalFormatting>
  <conditionalFormatting sqref="B10:F10 B12:F12">
    <cfRule type="expression" dxfId="153" priority="16">
      <formula>B9="None"</formula>
    </cfRule>
  </conditionalFormatting>
  <conditionalFormatting sqref="D13:F13 D2:F2">
    <cfRule type="expression" dxfId="152" priority="15">
      <formula>OR(D$15="No",OR(D$16="No",OR(D$17="No",OR(D$18="No"))))</formula>
    </cfRule>
  </conditionalFormatting>
  <conditionalFormatting sqref="A17:B17">
    <cfRule type="expression" dxfId="151" priority="13">
      <formula>$A$17="-"</formula>
    </cfRule>
  </conditionalFormatting>
  <conditionalFormatting sqref="A18:B18">
    <cfRule type="expression" dxfId="150" priority="12">
      <formula>$A$18="-"</formula>
    </cfRule>
  </conditionalFormatting>
  <conditionalFormatting sqref="A2">
    <cfRule type="cellIs" dxfId="149" priority="6" operator="equal">
      <formula>"F"</formula>
    </cfRule>
    <cfRule type="cellIs" dxfId="148" priority="7" operator="equal">
      <formula>"E"</formula>
    </cfRule>
    <cfRule type="cellIs" dxfId="147" priority="8" operator="equal">
      <formula>"D"</formula>
    </cfRule>
    <cfRule type="cellIs" dxfId="146" priority="9" operator="equal">
      <formula>"C"</formula>
    </cfRule>
    <cfRule type="cellIs" dxfId="145" priority="10" operator="equal">
      <formula>"B"</formula>
    </cfRule>
    <cfRule type="cellIs" dxfId="144" priority="11" operator="equal">
      <formula>"A"</formula>
    </cfRule>
  </conditionalFormatting>
  <conditionalFormatting sqref="B15">
    <cfRule type="expression" dxfId="143" priority="4">
      <formula>OR(AND(B$9&lt;&gt;"None",B$10=""),AND(B$11&lt;&gt;"None",B$12=""))</formula>
    </cfRule>
  </conditionalFormatting>
  <conditionalFormatting sqref="A9:F13 B16:B18">
    <cfRule type="expression" dxfId="142" priority="3">
      <formula>$B$7=""</formula>
    </cfRule>
  </conditionalFormatting>
  <conditionalFormatting sqref="A15:B15 A16:A18">
    <cfRule type="expression" dxfId="141" priority="2">
      <formula>$B$7=""</formula>
    </cfRule>
  </conditionalFormatting>
  <conditionalFormatting sqref="A20:A27">
    <cfRule type="expression" dxfId="140" priority="1">
      <formula>$B$7=""</formula>
    </cfRule>
  </conditionalFormatting>
  <conditionalFormatting sqref="B16:B18">
    <cfRule type="expression" dxfId="139" priority="2338">
      <formula>OR(AND(C$9&lt;&gt;"None",C$10=""),AND(C$11&lt;&gt;"None",C$12=""))</formula>
    </cfRule>
  </conditionalFormatting>
  <conditionalFormatting sqref="B13 B2">
    <cfRule type="expression" dxfId="138" priority="2354">
      <formula>OR(B$15="No",OR(#REF!="No",OR(#REF!="No",OR(#REF!="No"))))</formula>
    </cfRule>
  </conditionalFormatting>
  <conditionalFormatting sqref="C13 C2">
    <cfRule type="expression" dxfId="137" priority="2356">
      <formula>OR(C$15="No",OR(B$16="No",OR(B$17="No",OR(B$18="No"))))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IF($B$7="UNSIGNALIZED INTERSECTIONS","",IF($B$7="SIGNALIZED INTERSECTIONS",Grades!$J$34:$O$34,""))</xm:f>
          </x14:formula1>
          <xm:sqref>C27</xm:sqref>
        </x14:dataValidation>
        <x14:dataValidation type="list" allowBlank="1" showInputMessage="1" showErrorMessage="1">
          <x14:formula1>
            <xm:f>Targets!$L$6:$L$8</xm:f>
          </x14:formula1>
          <xm:sqref>B9:F9 B11:F11</xm:sqref>
        </x14:dataValidation>
        <x14:dataValidation type="list" allowBlank="1" showInputMessage="1" showErrorMessage="1">
          <x14:formula1>
            <xm:f>IF($B$7="UNSIGNALIZED INTERSECTIONS",Grades!$I$7:$O$7,IF($B$7="SIGNALIZED INTERSECTIONS",Grades!$I$29:$O$29,Grades!$I$51:$O$51))</xm:f>
          </x14:formula1>
          <xm:sqref>B25</xm:sqref>
        </x14:dataValidation>
        <x14:dataValidation type="list" allowBlank="1" showInputMessage="1" showErrorMessage="1">
          <x14:formula1>
            <xm:f>IF($B$7="UNSIGNALIZED INTERSECTIONS",Grades!$I$24:$O$24,IF($B$7="SIGNALIZED INTERSECTIONS",Grades!$I$46:$O$46,Grades!$I$68:$O$68))</xm:f>
          </x14:formula1>
          <xm:sqref>F27</xm:sqref>
        </x14:dataValidation>
        <x14:dataValidation type="list" allowBlank="1" showInputMessage="1" showErrorMessage="1">
          <x14:formula1>
            <xm:f>IF($B$7="UNSIGNALIZED INTERSECTIONS",Grades!$I$23:$O$23,IF($B$7="SIGNALIZED INTERSECTIONS",Grades!$I$45:$O$45,Grades!$I$67:$O$67))</xm:f>
          </x14:formula1>
          <xm:sqref>F25</xm:sqref>
        </x14:dataValidation>
        <x14:dataValidation type="list" allowBlank="1" showInputMessage="1" showErrorMessage="1">
          <x14:formula1>
            <xm:f>IF($B$7="UNSIGNALIZED INTERSECTIONS",Grades!$I$22:$O$22,IF($B$7="SIGNALIZED INTERSECTIONS",Grades!$I$44:$O$44,Grades!$I$66:$O$66))</xm:f>
          </x14:formula1>
          <xm:sqref>F23</xm:sqref>
        </x14:dataValidation>
        <x14:dataValidation type="list" allowBlank="1" showInputMessage="1" showErrorMessage="1">
          <x14:formula1>
            <xm:f>IF($B$7="UNSIGNALIZED INTERSECTIONS",Grades!$I$21:$O$21,IF($B$7="SIGNALIZED INTERSECTIONS",Grades!$I$43:$O$43,Grades!$I$65:$O$65))</xm:f>
          </x14:formula1>
          <xm:sqref>F21</xm:sqref>
        </x14:dataValidation>
        <x14:dataValidation type="list" allowBlank="1" showInputMessage="1" showErrorMessage="1">
          <x14:formula1>
            <xm:f>IF($B$7="UNSIGNALIZED INTERSECTIONS",Grades!$I$20:$O$20,IF($B$7="SIGNALIZED INTERSECTIONS",Grades!$I$42:$O$42,Grades!$I$64:$O$64))</xm:f>
          </x14:formula1>
          <xm:sqref>E27</xm:sqref>
        </x14:dataValidation>
        <x14:dataValidation type="list" allowBlank="1" showInputMessage="1" showErrorMessage="1">
          <x14:formula1>
            <xm:f>IF($B$7="UNSIGNALIZED INTERSECTIONS",Grades!$I$19:$O$19,IF($B$7="SIGNALIZED INTERSECTIONS",Grades!$I$41:$O$41,Grades!$I$63:$O$63))</xm:f>
          </x14:formula1>
          <xm:sqref>E25</xm:sqref>
        </x14:dataValidation>
        <x14:dataValidation type="list" allowBlank="1" showInputMessage="1" showErrorMessage="1">
          <x14:formula1>
            <xm:f>IF($B$7="UNSIGNALIZED INTERSECTIONS",Grades!$I$18:$O$18,IF($B$7="SIGNALIZED INTERSECTIONS",Grades!$I$40:$O$40,Grades!$I$62:$O$62))</xm:f>
          </x14:formula1>
          <xm:sqref>E23</xm:sqref>
        </x14:dataValidation>
        <x14:dataValidation type="list" allowBlank="1" showInputMessage="1" showErrorMessage="1">
          <x14:formula1>
            <xm:f>IF($B$7="UNSIGNALIZED INTERSECTIONS",Grades!$I$17:$O$17,IF($B$7="SIGNALIZED INTERSECTIONS",Grades!$I$39:$O$39,Grades!$I$61:$O$61))</xm:f>
          </x14:formula1>
          <xm:sqref>E21</xm:sqref>
        </x14:dataValidation>
        <x14:dataValidation type="list" allowBlank="1" showInputMessage="1" showErrorMessage="1">
          <x14:formula1>
            <xm:f>IF($B$7="UNSIGNALIZED INTERSECTIONS",Grades!$I$16:$O$16,IF($B$7="SIGNALIZED INTERSECTIONS",Grades!$I$38:$O$38,Grades!$I$60:$O$60))</xm:f>
          </x14:formula1>
          <xm:sqref>D27</xm:sqref>
        </x14:dataValidation>
        <x14:dataValidation type="list" allowBlank="1" showInputMessage="1" showErrorMessage="1">
          <x14:formula1>
            <xm:f>IF($B$7="UNSIGNALIZED INTERSECTIONS",Grades!$I$15:$O$15,IF($B$7="SIGNALIZED INTERSECTIONS",Grades!$I$37:$O$37,Grades!$I$59:$O$59))</xm:f>
          </x14:formula1>
          <xm:sqref>D25</xm:sqref>
        </x14:dataValidation>
        <x14:dataValidation type="list" allowBlank="1" showInputMessage="1" showErrorMessage="1">
          <x14:formula1>
            <xm:f>IF($B$7="UNSIGNALIZED INTERSECTIONS",Grades!$I$14:$O$14,IF($B$7="SIGNALIZED INTERSECTIONS",Grades!$I$36:$O$36,Grades!$I$58:$O$58))</xm:f>
          </x14:formula1>
          <xm:sqref>D23</xm:sqref>
        </x14:dataValidation>
        <x14:dataValidation type="list" allowBlank="1" showInputMessage="1" showErrorMessage="1">
          <x14:formula1>
            <xm:f>IF($B$7="UNSIGNALIZED INTERSECTIONS",Grades!$I$13:$O$13,IF($B$7="SIGNALIZED INTERSECTIONS",Grades!$I$35:$O$35,Grades!$I$57:$O$57))</xm:f>
          </x14:formula1>
          <xm:sqref>D21</xm:sqref>
        </x14:dataValidation>
        <x14:dataValidation type="list" allowBlank="1" showInputMessage="1" showErrorMessage="1">
          <x14:formula1>
            <xm:f>IF($B$7="UNSIGNALIZED INTERSECTIONS",Grades!$I$6:$O$6,IF($B$7="SIGNALIZED INTERSECTIONS",Grades!$I$28:$O$28,Grades!$I$50:$O$50))</xm:f>
          </x14:formula1>
          <xm:sqref>B23</xm:sqref>
        </x14:dataValidation>
        <x14:dataValidation type="list" allowBlank="1" showInputMessage="1" showErrorMessage="1">
          <x14:formula1>
            <xm:f>IF($B$7="UNSIGNALIZED INTERSECTIONS",Grades!$I$5:$O$5,IF($B$7="SIGNALIZED INTERSECTIONS",Grades!$I$27:$O$27,Grades!$I$49:$O$49))</xm:f>
          </x14:formula1>
          <xm:sqref>B21</xm:sqref>
        </x14:dataValidation>
        <x14:dataValidation type="list" allowBlank="1" showInputMessage="1" showErrorMessage="1">
          <x14:formula1>
            <xm:f>IF($B$7="UNSIGNALIZED INTERSECTIONS",Grades!$J$11:$O$11,IF($B$7="SIGNALIZED INTERSECTIONS",Grades!$J$33:$O$33,Grades!$J$55:$O$55))</xm:f>
          </x14:formula1>
          <xm:sqref>C25</xm:sqref>
        </x14:dataValidation>
        <x14:dataValidation type="list" allowBlank="1" showInputMessage="1" showErrorMessage="1">
          <x14:formula1>
            <xm:f>IF($B$7="UNSIGNALIZED INTERSECTIONS",Grades!$J$9:$O$9,IF($B$7="SIGNALIZED INTERSECTIONS",Grades!$J$31:$O$31,Grades!$J$53:$O$53))</xm:f>
          </x14:formula1>
          <xm:sqref>C21</xm:sqref>
        </x14:dataValidation>
        <x14:dataValidation type="list" allowBlank="1" showInputMessage="1" showErrorMessage="1">
          <x14:formula1>
            <xm:f>IF($B$7="UNSIGNALIZED INTERSECTIONS",Grades!$J$10:$O$10,IF($B$7="SIGNALIZED INTERSECTIONS",Grades!$J$32:$O$32,Grades!$J$54:$O$54))</xm:f>
          </x14:formula1>
          <xm:sqref>C23</xm:sqref>
        </x14:dataValidation>
        <x14:dataValidation type="list" allowBlank="1" showInputMessage="1" showErrorMessage="1">
          <x14:formula1>
            <xm:f>IF($B$7="UNSIGNALIZED INTERSECTIONS","",IF($B$7="SIGNALIZED INTERSECTIONS",Grades!$J$30:$O$30,""))</xm:f>
          </x14:formula1>
          <xm:sqref>B27</xm:sqref>
        </x14:dataValidation>
        <x14:dataValidation type="list" allowBlank="1" showInputMessage="1" showErrorMessage="1">
          <x14:formula1>
            <xm:f>Targets!$D$7:$D$15</xm:f>
          </x14:formula1>
          <xm:sqref>B4:F4</xm:sqref>
        </x14:dataValidation>
        <x14:dataValidation type="list" allowBlank="1" showInputMessage="1" showErrorMessage="1">
          <x14:formula1>
            <xm:f>'AT Check'!$C$3:$D$3</xm:f>
          </x14:formula1>
          <xm:sqref>B15:B16</xm:sqref>
        </x14:dataValidation>
        <x14:dataValidation type="list" allowBlank="1" showInputMessage="1" showErrorMessage="1">
          <x14:formula1>
            <xm:f>Grades!$R$9:$R$11</xm:f>
          </x14:formula1>
          <xm:sqref>B7:F7</xm:sqref>
        </x14:dataValidation>
        <x14:dataValidation type="list" allowBlank="1" showInputMessage="1" showErrorMessage="1">
          <x14:formula1>
            <xm:f>IF($A$17="-",'AT Check'!$E$3:$E$7,'AT Check'!$C$3:$D$3)</xm:f>
          </x14:formula1>
          <xm:sqref>B17</xm:sqref>
        </x14:dataValidation>
        <x14:dataValidation type="list" allowBlank="1" showInputMessage="1" showErrorMessage="1">
          <x14:formula1>
            <xm:f>IF($A$18="-",'AT Check'!$E$3:$E$7,'AT Check'!$C$3:$D$3)</xm:f>
          </x14:formula1>
          <xm:sqref>B18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4C064"/>
  </sheetPr>
  <dimension ref="A1:M27"/>
  <sheetViews>
    <sheetView workbookViewId="0"/>
  </sheetViews>
  <sheetFormatPr defaultRowHeight="14.4" x14ac:dyDescent="0.3"/>
  <cols>
    <col min="1" max="1" width="45" customWidth="1"/>
    <col min="2" max="6" width="38.5546875" customWidth="1"/>
  </cols>
  <sheetData>
    <row r="1" spans="1:13" ht="15.6" x14ac:dyDescent="0.3">
      <c r="A1" s="52" t="s">
        <v>87</v>
      </c>
      <c r="B1" s="53"/>
      <c r="C1" s="53"/>
      <c r="D1" s="53"/>
      <c r="E1" s="53"/>
      <c r="F1" s="53"/>
      <c r="L1" s="257"/>
      <c r="M1" s="257"/>
    </row>
    <row r="2" spans="1:13" ht="34.200000000000003" thickBot="1" x14ac:dyDescent="0.35">
      <c r="A2" s="296" t="s">
        <v>14</v>
      </c>
      <c r="B2" s="297" t="str">
        <f>B13</f>
        <v/>
      </c>
      <c r="C2" s="297" t="str">
        <f t="shared" ref="C2:F2" si="0">C13</f>
        <v/>
      </c>
      <c r="D2" s="297" t="str">
        <f t="shared" si="0"/>
        <v/>
      </c>
      <c r="E2" s="297" t="str">
        <f t="shared" si="0"/>
        <v/>
      </c>
      <c r="F2" s="297" t="str">
        <f t="shared" si="0"/>
        <v/>
      </c>
    </row>
    <row r="3" spans="1:13" ht="24.6" thickTop="1" thickBot="1" x14ac:dyDescent="0.35">
      <c r="A3" s="299" t="s">
        <v>13</v>
      </c>
      <c r="B3" s="393" t="s">
        <v>268</v>
      </c>
      <c r="C3" s="393"/>
      <c r="D3" s="393"/>
      <c r="E3" s="393"/>
      <c r="F3" s="393"/>
    </row>
    <row r="4" spans="1:13" ht="22.2" thickTop="1" thickBot="1" x14ac:dyDescent="0.35">
      <c r="A4" s="54" t="s">
        <v>22</v>
      </c>
      <c r="B4" s="395" t="s">
        <v>191</v>
      </c>
      <c r="C4" s="395"/>
      <c r="D4" s="395"/>
      <c r="E4" s="395"/>
      <c r="F4" s="395"/>
    </row>
    <row r="5" spans="1:13" ht="65.55" customHeight="1" thickTop="1" x14ac:dyDescent="0.3">
      <c r="A5" s="55" t="s">
        <v>28</v>
      </c>
      <c r="B5" s="56"/>
      <c r="C5" s="57"/>
      <c r="D5" s="57"/>
      <c r="E5" s="57"/>
      <c r="F5" s="58"/>
    </row>
    <row r="6" spans="1:13" ht="23.4" x14ac:dyDescent="0.3">
      <c r="A6" s="397"/>
      <c r="B6" s="397"/>
      <c r="C6" s="397"/>
      <c r="D6" s="397"/>
      <c r="E6" s="397"/>
      <c r="F6" s="397"/>
    </row>
    <row r="7" spans="1:13" ht="23.4" x14ac:dyDescent="0.3">
      <c r="A7" s="237" t="s">
        <v>176</v>
      </c>
      <c r="B7" s="400" t="s">
        <v>9</v>
      </c>
      <c r="C7" s="400"/>
      <c r="D7" s="400"/>
      <c r="E7" s="400"/>
      <c r="F7" s="400"/>
    </row>
    <row r="8" spans="1:13" ht="33.6" x14ac:dyDescent="0.3">
      <c r="A8" s="59" t="s">
        <v>15</v>
      </c>
      <c r="B8" s="60" t="str">
        <f>_xlfn.IFNA(VLOOKUP(IF(OR(AND(B9="Upwards",B11="None"),AND(B11="Upwards",B9="None")),INDEX(Grades!R17:S22,MATCH(VLOOKUP($B$4,Targets!$D$6:$I$15,2,FALSE),Grades!R17:R22,0)-1,2),IF(OR(AND(B9="Downwards",B11="None"),AND(B9="Downwards",B11="None")),INDEX(Grades!R17:S22,MATCH(VLOOKUP($B$4,Targets!$D$6:$I$15,2,FALSE),Grades!R17:R22,0)+1,2),IF(AND(B11="Upwards",B9="Upwards"),INDEX(Grades!R17:S22,MATCH(VLOOKUP($B$4,Targets!$D$6:$I$15,2,FALSE),Grades!R17:R22,0)-2,2),IF(AND(B9="Downwards",B11="Downwards"),INDEX(Grades!R17:S22,MATCH(VLOOKUP($B$4,Targets!$D$6:$I$15,2,FALSE),Grades!R17:R22,0)+2,2),INDEX(Grades!R17:S22,MATCH(VLOOKUP($B$4,Targets!$D$6:$I$15,2,FALSE),Grades!R17:R22,0),2))))),Grades!S17:T22,2,FALSE),"")</f>
        <v>B</v>
      </c>
      <c r="C8" s="60" t="s">
        <v>2</v>
      </c>
      <c r="D8" s="60" t="s">
        <v>3</v>
      </c>
      <c r="E8" s="60" t="s">
        <v>5</v>
      </c>
      <c r="F8" s="60" t="s">
        <v>5</v>
      </c>
      <c r="K8" s="292"/>
    </row>
    <row r="9" spans="1:13" ht="33.6" x14ac:dyDescent="0.3">
      <c r="A9" s="59" t="s">
        <v>265</v>
      </c>
      <c r="B9" s="258" t="s">
        <v>236</v>
      </c>
      <c r="C9" s="258" t="s">
        <v>236</v>
      </c>
      <c r="D9" s="258" t="s">
        <v>236</v>
      </c>
      <c r="E9" s="258" t="s">
        <v>236</v>
      </c>
      <c r="F9" s="258" t="s">
        <v>236</v>
      </c>
    </row>
    <row r="10" spans="1:13" ht="23.4" x14ac:dyDescent="0.3">
      <c r="A10" s="59" t="s">
        <v>237</v>
      </c>
      <c r="B10" s="298"/>
      <c r="C10" s="298"/>
      <c r="D10" s="298"/>
      <c r="E10" s="298"/>
      <c r="F10" s="298"/>
    </row>
    <row r="11" spans="1:13" ht="33.6" x14ac:dyDescent="0.3">
      <c r="A11" s="59" t="s">
        <v>264</v>
      </c>
      <c r="B11" s="258" t="s">
        <v>236</v>
      </c>
      <c r="C11" s="258" t="s">
        <v>236</v>
      </c>
      <c r="D11" s="258" t="s">
        <v>236</v>
      </c>
      <c r="E11" s="258" t="s">
        <v>236</v>
      </c>
      <c r="F11" s="258" t="s">
        <v>236</v>
      </c>
    </row>
    <row r="12" spans="1:13" ht="23.4" x14ac:dyDescent="0.3">
      <c r="A12" s="59" t="s">
        <v>237</v>
      </c>
      <c r="B12" s="298"/>
      <c r="C12" s="298"/>
      <c r="D12" s="298"/>
      <c r="E12" s="298"/>
      <c r="F12" s="298"/>
    </row>
    <row r="13" spans="1:13" ht="34.200000000000003" thickBot="1" x14ac:dyDescent="0.35">
      <c r="A13" s="59" t="s">
        <v>14</v>
      </c>
      <c r="B13" s="261" t="str">
        <f>_xlfn.IFNA(VLOOKUP(IF(B7="UNSIGNALIZED INTERSECTIONS",ROUND(((IF(B21="",0,INDEX(Grades!$R$17:$T$22,MATCH(B21,Grades!$J5:$O5,0),2))*VLOOKUP(Segment!B20,Grades!$G5:$I24,2,FALSE))+((IF(B23="",0,INDEX(Grades!$R$17:$T$22,MATCH(B23,Grades!$J6:$O6,0),2)))*VLOOKUP(Segment!B22,Grades!$G5:$I24,2,FALSE))+((IF(B25="",0,INDEX(Grades!$R$17:$T$22,MATCH(B25,Grades!$J7:$O7,0),2)))*IF(B24="",0,VLOOKUP(Segment!B24,Grades!$G5:$I24,2,FALSE)))+((IF(B27="",0,INDEX(Grades!$R$17:$T$22,MATCH(B27,Grades!$J8:$O8,0),2)))*IF(B26="",0,VLOOKUP(Segment!B26,Grades!$G5:$I24,2,FALSE)))),0),IF(B7="SIGNALIZED INTERSECTIONS",ROUND((IF(B21="",0,INDEX(Grades!$R$17:$T$22,MATCH(B21,Grades!$J27:$O27,0),2)*VLOOKUP(Segment!B20,Grades!$G27:$H46,2,FALSE))+(IF(B23="",0,INDEX(Grades!$R$17:$T$22,MATCH(B23,Grades!$J28:$O28,0),2)*VLOOKUP(Segment!B22,Grades!$G27:$H46,2,FALSE)))+(IF(B25="",0,INDEX(Grades!$R$17:$T$22,MATCH(B25,Grades!$J29:$O29,0),2))*IF(B24="",0,VLOOKUP(Segment!B24,Grades!$G27:$H46,2,FALSE)))+(IF(B27="",0,INDEX(Grades!$R$17:$T$22,MATCH(B27,Grades!$J30:$O30,0),2))*IF(B26="",0,VLOOKUP(Segment!B26,Grades!$G27:$H46,2,FALSE)))),0),ROUND((IF(B21="",0,INDEX(Grades!$R$17:$T$22,MATCH(B21,Grades!$J49:$O49,0),2)*VLOOKUP(Segment!B20,Grades!$G49:$H68,2,FALSE))+(IF(B23="",0,INDEX(Grades!$R$17:$T$22,MATCH(B23,Grades!$J50:$O50,0),2)*VLOOKUP(Segment!B22,Grades!$G49:$H68,2,FALSE)))+(IF(B25="",0,INDEX(Grades!$R$17:$T$22,MATCH(B25,Grades!$J51:$O51,0),2)*IF(B24="",0,VLOOKUP(Segment!B24,Grades!$G49:$H68,2,FALSE))))+(IF(B27="",0,INDEX(Grades!$R$17:$T$22,MATCH(B27,Grades!$J52:$O52,0),2)*IF(B26="",0,VLOOKUP(Segment!B26,Grades!$G49:$H68,2,FALSE))))),0))),Grades!$S$17:$T$22,2,FALSE),"")</f>
        <v/>
      </c>
      <c r="C13" s="261" t="str">
        <f>_xlfn.IFNA(VLOOKUP(IF(B7="UNSIGNALIZED INTERSECTIONS",ROUND(((IF(C21="",0,INDEX(Grades!$R$17:$T$22,MATCH(C21,Grades!$J9:$O9,0),2))*VLOOKUP(Segment!C20,Grades!G5:I24,2,FALSE))+((IF(C23="",0,INDEX(Grades!$R$17:$T$22,MATCH(C23,Grades!$J10:$O10,0),2)))*VLOOKUP(Segment!C22,Grades!G5:I24,2,FALSE))+((IF(C25="",0,INDEX(Grades!$R$17:$T$22,MATCH(C25,Grades!$J11:$O11,0),2)))*IF(C24="",0,VLOOKUP(Segment!C24,Grades!G5:I24,2,FALSE)))+((IF(C27="",0,INDEX(Grades!$R$17:$T$22,MATCH(C27,Grades!$J12:$O12,0),2)))*IF(C26="",0,VLOOKUP(Segment!C26,Grades!G5:I24,2,FALSE)))),0),IF(B7="SIGNALIZED INTERSECTIONS",ROUND((IF(C21="",0,INDEX(Grades!$R$17:$T$22,MATCH(C21,Grades!$J31:$O31,0),2)*VLOOKUP(Segment!C20,Grades!G27:I46,2,FALSE))+(IF(C23="",0,INDEX(Grades!$R$17:$T$22,MATCH(C23,Grades!$J32:$O32,0),2)*VLOOKUP(Segment!C22,Grades!G27:I46,2,FALSE)))+(IF(C25="",0,INDEX(Grades!$R$17:$T$22,MATCH(C25,Grades!$J33:$O33,0),2))*IF(C24="",0,VLOOKUP(Segment!C24,Grades!G27:I46,2,FALSE)))+(IF(C27="",0,INDEX(Grades!$R$17:$T$22,MATCH(C27,Grades!$J34:$O34,0),2))*IF(C26="",0,VLOOKUP(Segment!C26,Grades!G27:I46,2,FALSE)))),0),ROUND((IF(C21="",0,INDEX(Grades!$R$17:$T$22,MATCH(C21,Grades!$J53:$O53,0),2)*VLOOKUP(Segment!C20,Grades!G49:I68,2,FALSE))+(IF(C23="",0,INDEX(Grades!$R$17:$T$22,MATCH(C23,Grades!$J54:$O54,0),2)*VLOOKUP(Segment!C22,Grades!G49:I68,2,FALSE)))+(IF(C25="",0,INDEX(Grades!$R$17:$T$22,MATCH(C25,Grades!$J55:$O55,0),2)*IF(C24="",0,VLOOKUP(Segment!C24,Grades!G49:I68,2,FALSE))))+(IF(C27="",0,INDEX(Grades!$R$17:$T$22,MATCH(C27,Grades!$J56:$O56,0),2)*IF(C26="",0,VLOOKUP(Segment!C26,Grades!G49:I68,2,FALSE))))),0))),Grades!$S$17:$T$22,2,FALSE),"")</f>
        <v/>
      </c>
      <c r="D13" s="261" t="str">
        <f>_xlfn.IFNA(VLOOKUP(IF(B7="UNSIGNALIZED INTERSECTIONS",ROUND(((IF(D21="",0,INDEX(Grades!$R$17:$T$22,MATCH(D21,Grades!$J13:$O13,0),2))*VLOOKUP(Segment!D20,Grades!$G5:$I24,2,FALSE))+((IF(D23="",0,INDEX(Grades!$R$17:$T$22,MATCH(D23,Grades!$J14:$O14,0),2)))*VLOOKUP(Segment!D22,Grades!$G5:$I24,2,FALSE))+((IF(D25="",0,INDEX(Grades!$R$17:$T$22,MATCH(D25,Grades!$J15:$O15,0),2)))*IF(D24="",0,VLOOKUP(Segment!D24,Grades!$G5:$I24,2,FALSE)))+((IF(D27="",0,INDEX(Grades!$R$17:$T$22,MATCH(D27,Grades!$J16:$O16,0),2)))*IF(D26="",0,VLOOKUP(Segment!D26,Grades!$G5:$I24,2,FALSE)))),0),IF(B7="SIGNALIZED INTERSECTIONS",ROUND((IF(D21="",0,INDEX(Grades!$R$17:$T$22,MATCH(D21,Grades!$J35:$O35,0),2)*VLOOKUP(Segment!D20,Grades!$G27:$H46,2,FALSE))+(IF(D23="",0,INDEX(Grades!$R$17:$T$22,MATCH(D23,Grades!$J36:$O36,0),2)*VLOOKUP(Segment!D22,Grades!$G27:$H46,2,FALSE)))+(IF(D25="",0,INDEX(Grades!$R$17:$T$22,MATCH(D25,Grades!$J37:$O37,0),2))*IF(D24="",0,VLOOKUP(Segment!D24,Grades!$G27:$H46,2,FALSE)))+(IF(D27="",0,INDEX(Grades!$R$17:$T$22,MATCH(D27,Grades!$J38:$O38,0),2))*IF(D26="",0,VLOOKUP(Segment!D26,Grades!$G27:$H46,2,FALSE)))),0),ROUND((IF(D21="",0,INDEX(Grades!$R$17:$T$22,MATCH(D21,Grades!$J57:$O57,0),2)*VLOOKUP(Segment!D20,Grades!$G49:$H68,2,FALSE))+(IF(D23="",0,INDEX(Grades!$R$17:$T$22,MATCH(D23,Grades!$J58:$O58,0),2)*VLOOKUP(Segment!D22,Grades!$G49:$H68,2,FALSE)))+(IF(D25="",0,INDEX(Grades!$R$17:$T$22,MATCH(D25,Grades!$J59:$O59,0),2)*IF(D24="",0,VLOOKUP(Segment!D24,Grades!$G49:$H68,2,FALSE))))+(IF(D27="",0,INDEX(Grades!$R$17:$T$22,MATCH(D27,Grades!$J60:$O60,0),2)*IF(D26="",0,VLOOKUP(Segment!D26,Grades!$G49:$H68,2,FALSE))))),0))),Grades!$S$17:$T$22,2,FALSE),"")</f>
        <v/>
      </c>
      <c r="E13" s="261" t="str">
        <f>_xlfn.IFNA(VLOOKUP(IF(B7="UNSIGNALIZED INTERSECTIONS",ROUND(((IF(E21="",0,INDEX(Grades!$R$17:$T$22,MATCH(E21,Grades!$J17:$O17,0),2))*VLOOKUP(Segment!E20,Grades!$G5:$I24,2,FALSE))+((IF(E23="",0,INDEX(Grades!$R$17:$T$22,MATCH(E23,Grades!$J18:$O18,0),2)))*VLOOKUP(Segment!E22,Grades!$G5:$I24,2,FALSE))+((IF(E25="",0,INDEX(Grades!$R$17:$T$22,MATCH(E25,Grades!$J19:$O19,0),2)))*IF(E24="",0,VLOOKUP(Segment!E24,Grades!$G5:$I24,2,FALSE)))+((IF(E27="",0,INDEX(Grades!$R$17:$T$22,MATCH(E27,Grades!$J20:$O20,0),2)))*IF(E26="",0,VLOOKUP(Segment!E26,Grades!$G5:$I24,2,FALSE)))),0),IF(B7="SIGNALIZED INTERSECTIONS",ROUND((IF(E21="",0,INDEX(Grades!$R$17:$T$22,MATCH(E21,Grades!$J39:$O39,0),2)*VLOOKUP(Segment!E20,Grades!$G27:$H46,2,FALSE))+(IF(E23="",0,INDEX(Grades!$R$17:$T$22,MATCH(E23,Grades!$J40:$O40,0),2)*VLOOKUP(Segment!E22,Grades!$G27:$H46,2,FALSE)))+(IF(E25="",0,INDEX(Grades!$R$17:$T$22,MATCH(E25,Grades!$J41:$O41,0),2))*IF(E24="",0,VLOOKUP(Segment!E24,Grades!$G27:$H46,2,FALSE)))+(IF(E27="",0,INDEX(Grades!$R$17:$T$22,MATCH(E27,Grades!$J42:$O42,0),2))*IF(E26="",0,VLOOKUP(Segment!E26,Grades!$G27:$H46,2,FALSE)))),0),ROUND((IF(E21="",0,INDEX(Grades!$R$17:$T$22,MATCH(E21,Grades!$J61:$O61,0),2)*VLOOKUP(Segment!E20,Grades!$G49:$H68,2,FALSE))+(IF(E23="",0,INDEX(Grades!$R$17:$T$22,MATCH(E23,Grades!$J62:$O62,0),2)*VLOOKUP(Segment!E22,Grades!$G49:$H68,2,FALSE)))+(IF(E25="",0,INDEX(Grades!$R$17:$T$22,MATCH(E25,Grades!$J63:$O63,0),2)*IF(E24="",0,VLOOKUP(Segment!E24,Grades!$G49:$H68,2,FALSE))))+(IF(E27="",0,INDEX(Grades!$R$17:$T$22,MATCH(E27,Grades!$J64:$O64,0),2)*IF(E26="",0,VLOOKUP(Segment!E26,Grades!$G49:$H68,2,FALSE))))),0))),Grades!$S$17:$T$22,2,FALSE),"")</f>
        <v/>
      </c>
      <c r="F13" s="261" t="str">
        <f>_xlfn.IFNA(VLOOKUP(IF(B7="UNSIGNALIZED INTERSECTIONS",ROUND(((IF(F21="",0,INDEX(Grades!$R$17:$T$22,MATCH(F21,Grades!$J21:$O21,0),2))*VLOOKUP(Segment!F20,Grades!$G5:$I24,2,FALSE))+((IF(F23="",0,INDEX(Grades!$R$17:$T$22,MATCH(F23,Grades!$J22:$O22,0),2)))*VLOOKUP(Segment!F22,Grades!$G5:$I24,2,FALSE))+((IF(F25="",0,INDEX(Grades!$R$17:$T$22,MATCH(F25,Grades!$J23:$O23,0),2)))*IF(F24="",0,VLOOKUP(Segment!F24,Grades!$G5:$I24,2,FALSE)))+((IF(F27="",0,INDEX(Grades!$R$17:$T$22,MATCH(F27,Grades!$J24:$O24,0),2)))*IF(F26="",0,VLOOKUP(Segment!F26,Grades!$G5:$I24,2,FALSE)))),0),IF(B7="SIGNALIZED INTERSECTIONS",ROUND((IF(F21="",0,INDEX(Grades!$R$17:$T$22,MATCH(F21,Grades!$J43:$O43,0),2)*VLOOKUP(Segment!F20,Grades!$G27:$H46,2,FALSE))+(IF(F23="",0,INDEX(Grades!$R$17:$T$22,MATCH(F23,Grades!$J44:$O44,0),2)*VLOOKUP(Segment!F22,Grades!$G27:$H46,2,FALSE)))+(IF(F25="",0,INDEX(Grades!$R$17:$T$22,MATCH(F25,Grades!$J45:$O45,0),2))*IF(F24="",0,VLOOKUP(Segment!F24,Grades!$G27:$H46,2,FALSE)))+(IF(F27="",0,INDEX(Grades!$R$17:$T$22,MATCH(F27,Grades!$J46:$O46,0),2))*IF(F26="",0,VLOOKUP(Segment!F26,Grades!$G27:$H46,2,FALSE)))),0),ROUND((IF(F21="",0,INDEX(Grades!$R$17:$T$22,MATCH(F21,Grades!$J65:$O65,0),2)*VLOOKUP(Segment!F20,Grades!$G49:$H68,2,FALSE))+(IF(F23="",0,INDEX(Grades!$R$17:$T$22,MATCH(F23,Grades!$J66:$O66,0),2)*VLOOKUP(Segment!F22,Grades!$G49:$H68,2,FALSE)))+(IF(F25="",0,INDEX(Grades!$R$17:$T$22,MATCH(F25,Grades!$J67:$O67,0),2)*IF(F24="",0,VLOOKUP(Segment!F24,Grades!$G49:$H68,2,FALSE))))+(IF(F27="",0,INDEX(Grades!$R$17:$T$22,MATCH(F27,Grades!$J68:$O68,0),2)*IF(F26="",0,VLOOKUP(Segment!F26,Grades!$G49:$H68,2,FALSE))))),0))),Grades!$S$17:$T$22,2,FALSE),"")</f>
        <v/>
      </c>
    </row>
    <row r="14" spans="1:13" ht="23.55" customHeight="1" thickTop="1" thickBot="1" x14ac:dyDescent="0.35">
      <c r="A14" s="402" t="s">
        <v>246</v>
      </c>
      <c r="B14" s="403"/>
      <c r="C14" s="403"/>
      <c r="D14" s="403"/>
      <c r="E14" s="403"/>
      <c r="F14" s="404"/>
    </row>
    <row r="15" spans="1:13" ht="79.95" customHeight="1" thickTop="1" thickBot="1" x14ac:dyDescent="0.35">
      <c r="A15" s="264" t="str">
        <f>IF(B7="SEGMENTS",'AT Check'!B5,'AT Check'!B7)</f>
        <v>Do the pedestrian facilities provide direct access to all properties along the segment? (Direct access can be provided by an adjacent facility or designated crossing to the property in question)</v>
      </c>
      <c r="B15" s="293" t="s">
        <v>20</v>
      </c>
      <c r="C15" s="293"/>
      <c r="D15" s="293"/>
      <c r="E15" s="293"/>
      <c r="F15" s="293"/>
    </row>
    <row r="16" spans="1:13" ht="79.95" customHeight="1" thickTop="1" thickBot="1" x14ac:dyDescent="0.35">
      <c r="A16" s="264" t="str">
        <f>IF(B7="SEGMENTS",'AT Check'!B6,'AT Check'!B8)</f>
        <v>Does the bicycle facility selected correspond with the minimum appropriate facility type identified in the context appropriate nomograph (Figure 6.1, 6.2)?</v>
      </c>
      <c r="B16" s="293" t="s">
        <v>20</v>
      </c>
      <c r="C16" s="293"/>
      <c r="D16" s="293"/>
      <c r="E16" s="293"/>
      <c r="F16" s="293"/>
    </row>
    <row r="17" spans="1:6" ht="79.95" customHeight="1" thickTop="1" thickBot="1" x14ac:dyDescent="0.35">
      <c r="A17" s="264" t="str">
        <f>IF(B7="SEGMENTS","-",'AT Check'!B9)</f>
        <v>-</v>
      </c>
      <c r="B17" s="293"/>
      <c r="C17" s="293"/>
      <c r="D17" s="293"/>
      <c r="E17" s="293"/>
      <c r="F17" s="293"/>
    </row>
    <row r="18" spans="1:6" ht="79.95" customHeight="1" thickTop="1" thickBot="1" x14ac:dyDescent="0.35">
      <c r="A18" s="264" t="str">
        <f>IF(B7="SEGMENTS","-",'AT Check'!B10)</f>
        <v>-</v>
      </c>
      <c r="B18" s="293"/>
      <c r="C18" s="293"/>
      <c r="D18" s="293"/>
      <c r="E18" s="293"/>
      <c r="F18" s="293"/>
    </row>
    <row r="19" spans="1:6" ht="30" customHeight="1" thickTop="1" x14ac:dyDescent="0.3">
      <c r="A19" s="405" t="s">
        <v>247</v>
      </c>
      <c r="B19" s="405"/>
      <c r="C19" s="405"/>
      <c r="D19" s="405"/>
      <c r="E19" s="405"/>
      <c r="F19" s="405"/>
    </row>
    <row r="20" spans="1:6" ht="49.95" customHeight="1" x14ac:dyDescent="0.3">
      <c r="A20" s="421" t="s">
        <v>228</v>
      </c>
      <c r="B20" s="294" t="str">
        <f>IF(B7="SIGNALIZED INTERSECTIONS",Grades!G27,IF(B7="UNSIGNALIZED INTERSECTIONS",Grades!G5,Grades!G49))</f>
        <v>Pedestrian Facility Width (m)</v>
      </c>
      <c r="C20" s="294" t="str">
        <f>IF(B7="UNSIGNALIZED INTERSECTIONS",Grades!G9,IF(B7="SIGNALIZED INTERSECTIONS",Grades!G31,Grades!G53))</f>
        <v>Bike Facility Width per Direction (m)</v>
      </c>
      <c r="D20" s="294" t="str">
        <f>IF($B$7="UNSIGNALIZED INTERSECTIONS",Grades!G13,IF($B$7="SIGNALIZED INTERSECTIONS",Grades!$G$35,Grades!$G$57))</f>
        <v>Transit Facility Type</v>
      </c>
      <c r="E20" s="294" t="str">
        <f>IF($B$7="UNSIGNALIZED INTERSECTIONS",Grades!G17,IF($B$7="SIGNALIZED INTERSECTIONS",Grades!$G$39,Grades!$G$61))</f>
        <v>Width of Curb Lane (m)</v>
      </c>
      <c r="F20" s="294" t="str">
        <f>IF($B$7="UNSIGNALIZED INTERSECTIONS",Grades!G21,IF($B$7="SIGNALIZED INTERSECTIONS",Grades!$G$43,Grades!$G$65))</f>
        <v>Mid-block V/C Ratio</v>
      </c>
    </row>
    <row r="21" spans="1:6" ht="49.95" customHeight="1" x14ac:dyDescent="0.3">
      <c r="A21" s="421"/>
      <c r="B21" s="295" t="s">
        <v>248</v>
      </c>
      <c r="C21" s="295" t="s">
        <v>249</v>
      </c>
      <c r="D21" s="295" t="s">
        <v>220</v>
      </c>
      <c r="E21" s="295" t="s">
        <v>262</v>
      </c>
      <c r="F21" s="295" t="s">
        <v>43</v>
      </c>
    </row>
    <row r="22" spans="1:6" ht="49.95" customHeight="1" x14ac:dyDescent="0.3">
      <c r="A22" s="421" t="s">
        <v>229</v>
      </c>
      <c r="B22" s="294" t="str">
        <f>IF(B7="SIGNALIZED INTERSECTIONS",Grades!G28,IF(B7="UNSIGNALIZED INTERSECTIONS",Grades!G6,Grades!G50))</f>
        <v>Pedestrian Buffer Width (m)</v>
      </c>
      <c r="C22" s="294" t="str">
        <f>IF(B7="SIGNALIZED INTERSECTIONS",Grades!G32,IF(B7="UNSIGNALIZED INTERSECTIONS",Grades!G10,Grades!G54))</f>
        <v>Bike Buffer Width (m)</v>
      </c>
      <c r="D22" s="294" t="str">
        <f>IF($B$7="UNSIGNALIZED INTERSECTIONS",Grades!G14,IF($B$7="SIGNALIZED INTERSECTIONS",Grades!$G$36,Grades!$G$58))</f>
        <v>Transit Passenger Amenities</v>
      </c>
      <c r="E22" s="294" t="str">
        <f>IF($B$7="UNSIGNALIZED INTERSECTIONS",Grades!G18,IF($B$7="SIGNALIZED INTERSECTIONS",Grades!$G$40,Grades!$G$62))</f>
        <v>Car Level of Service</v>
      </c>
      <c r="F22" s="294" t="str">
        <f>IF($B$7="UNSIGNALIZED INTERSECTIONS",Grades!G22,IF($B$7="SIGNALIZED INTERSECTIONS",Grades!$G$44,Grades!$G$66))</f>
        <v>Curb Lane Conflicts</v>
      </c>
    </row>
    <row r="23" spans="1:6" ht="49.95" customHeight="1" x14ac:dyDescent="0.3">
      <c r="A23" s="421"/>
      <c r="B23" s="295" t="s">
        <v>260</v>
      </c>
      <c r="C23" s="295" t="s">
        <v>261</v>
      </c>
      <c r="D23" s="295" t="s">
        <v>223</v>
      </c>
      <c r="E23" s="295"/>
      <c r="F23" s="295" t="s">
        <v>226</v>
      </c>
    </row>
    <row r="24" spans="1:6" ht="49.95" customHeight="1" x14ac:dyDescent="0.3">
      <c r="A24" s="421" t="s">
        <v>230</v>
      </c>
      <c r="B24" s="294" t="str">
        <f>IF(B7="SIGNALIZED INTERSECTIONS",Grades!G29,IF(B7="UNSIGNALIZED INTERSECTIONS",Grades!G7,Grades!G51))</f>
        <v>Max Distance Between Controlled Crossings (m)</v>
      </c>
      <c r="C24" s="294" t="str">
        <f>IF(B7="SIGNALIZED INTERSECTIONS",Grades!G33,IF(B7="UNSIGNALIZED INTERSECTIONS",Grades!G11,Grades!G55))</f>
        <v>Conflicts with Other Modes 
(in-lane conflicts and cross point conflicts)</v>
      </c>
      <c r="D24" s="294" t="str">
        <f>IF($B$7="UNSIGNALIZED INTERSECTIONS",Grades!G15,IF($B$7="SIGNALIZED INTERSECTIONS",Grades!$G$37,Grades!$G$59))</f>
        <v>Pedestrian Level of Service</v>
      </c>
      <c r="E24" s="294" t="str">
        <f>IF($B$7="UNSIGNALIZED INTERSECTIONS",Grades!G19,IF($B$7="SIGNALIZED INTERSECTIONS",Grades!$G$41,Grades!$G$63))</f>
        <v>-</v>
      </c>
      <c r="F24" s="294" t="str">
        <f>IF($B$7="UNSIGNALIZED INTERSECTIONS",Grades!G23,IF($B$7="SIGNALIZED INTERSECTIONS",Grades!$G$45,Grades!$G$67))</f>
        <v>-</v>
      </c>
    </row>
    <row r="25" spans="1:6" ht="49.95" customHeight="1" x14ac:dyDescent="0.3">
      <c r="A25" s="421"/>
      <c r="B25" s="295" t="s">
        <v>255</v>
      </c>
      <c r="C25" s="295" t="s">
        <v>217</v>
      </c>
      <c r="D25" s="295" t="s">
        <v>2</v>
      </c>
      <c r="E25" s="295"/>
      <c r="F25" s="295"/>
    </row>
    <row r="26" spans="1:6" ht="49.95" customHeight="1" x14ac:dyDescent="0.3">
      <c r="A26" s="421" t="s">
        <v>231</v>
      </c>
      <c r="B26" s="294" t="str">
        <f>IF(B7="SIGNALIZED INTERSECTIONS",Grades!G30,IF(B7="UNSIGNALIZED INTERSECTIONS","",""))</f>
        <v/>
      </c>
      <c r="C26" s="294" t="str">
        <f>IF(B7="SIGNALIZED INTERSECTIONS",Grades!G34,IF(B7="UNSIGNALIZED INTERSECTIONS",Grades!G12,Grades!G56))</f>
        <v>-</v>
      </c>
      <c r="D26" s="294" t="str">
        <f>IF($B$7="UNSIGNALIZED INTERSECTIONS",Grades!G16,IF($B$7="SIGNALIZED INTERSECTIONS",Grades!$G$38,Grades!$G$60))</f>
        <v>-</v>
      </c>
      <c r="E26" s="294" t="str">
        <f>IF($B$7="UNSIGNALIZED INTERSECTIONS",Grades!G20,IF($B$7="SIGNALIZED INTERSECTIONS",Grades!$G$42,Grades!$G$64))</f>
        <v>-</v>
      </c>
      <c r="F26" s="294" t="str">
        <f>IF($B$7="UNSIGNALIZED INTERSECTIONS",Grades!G24,IF($B$7="SIGNALIZED INTERSECTIONS",Grades!$G$46,Grades!$G$68))</f>
        <v>-</v>
      </c>
    </row>
    <row r="27" spans="1:6" ht="49.95" customHeight="1" x14ac:dyDescent="0.3">
      <c r="A27" s="421"/>
      <c r="B27" s="295"/>
      <c r="C27" s="295"/>
      <c r="D27" s="295"/>
      <c r="E27" s="295"/>
      <c r="F27" s="295"/>
    </row>
  </sheetData>
  <mergeCells count="10">
    <mergeCell ref="A20:A21"/>
    <mergeCell ref="A22:A23"/>
    <mergeCell ref="A24:A25"/>
    <mergeCell ref="A26:A27"/>
    <mergeCell ref="B3:F3"/>
    <mergeCell ref="B4:F4"/>
    <mergeCell ref="A6:F6"/>
    <mergeCell ref="B7:F7"/>
    <mergeCell ref="A14:F14"/>
    <mergeCell ref="A19:F19"/>
  </mergeCells>
  <conditionalFormatting sqref="A5:F5 A4:B4 B1:F1 A8:A19">
    <cfRule type="cellIs" dxfId="136" priority="41" operator="equal">
      <formula>"F"</formula>
    </cfRule>
    <cfRule type="cellIs" dxfId="135" priority="42" operator="equal">
      <formula>"E"</formula>
    </cfRule>
    <cfRule type="cellIs" dxfId="134" priority="43" operator="equal">
      <formula>"D"</formula>
    </cfRule>
    <cfRule type="cellIs" dxfId="133" priority="44" operator="equal">
      <formula>"C"</formula>
    </cfRule>
    <cfRule type="cellIs" dxfId="132" priority="45" operator="equal">
      <formula>"B"</formula>
    </cfRule>
    <cfRule type="cellIs" dxfId="131" priority="46" operator="equal">
      <formula>"A"</formula>
    </cfRule>
  </conditionalFormatting>
  <conditionalFormatting sqref="A3">
    <cfRule type="cellIs" dxfId="130" priority="35" operator="equal">
      <formula>"F"</formula>
    </cfRule>
    <cfRule type="cellIs" dxfId="129" priority="36" operator="equal">
      <formula>"E"</formula>
    </cfRule>
    <cfRule type="cellIs" dxfId="128" priority="37" operator="equal">
      <formula>"D"</formula>
    </cfRule>
    <cfRule type="cellIs" dxfId="127" priority="38" operator="equal">
      <formula>"C"</formula>
    </cfRule>
    <cfRule type="cellIs" dxfId="126" priority="39" operator="equal">
      <formula>"B"</formula>
    </cfRule>
    <cfRule type="cellIs" dxfId="125" priority="40" operator="equal">
      <formula>"A"</formula>
    </cfRule>
  </conditionalFormatting>
  <conditionalFormatting sqref="B3">
    <cfRule type="cellIs" dxfId="124" priority="29" operator="equal">
      <formula>"F"</formula>
    </cfRule>
    <cfRule type="cellIs" dxfId="123" priority="30" operator="equal">
      <formula>"E"</formula>
    </cfRule>
    <cfRule type="cellIs" dxfId="122" priority="31" operator="equal">
      <formula>"D"</formula>
    </cfRule>
    <cfRule type="cellIs" dxfId="121" priority="32" operator="equal">
      <formula>"C"</formula>
    </cfRule>
    <cfRule type="cellIs" dxfId="120" priority="33" operator="equal">
      <formula>"B"</formula>
    </cfRule>
    <cfRule type="cellIs" dxfId="119" priority="34" operator="equal">
      <formula>"A"</formula>
    </cfRule>
  </conditionalFormatting>
  <conditionalFormatting sqref="A6:A7">
    <cfRule type="cellIs" dxfId="118" priority="23" operator="equal">
      <formula>"F"</formula>
    </cfRule>
    <cfRule type="cellIs" dxfId="117" priority="24" operator="equal">
      <formula>"E"</formula>
    </cfRule>
    <cfRule type="cellIs" dxfId="116" priority="25" operator="equal">
      <formula>"D"</formula>
    </cfRule>
    <cfRule type="cellIs" dxfId="115" priority="26" operator="equal">
      <formula>"C"</formula>
    </cfRule>
    <cfRule type="cellIs" dxfId="114" priority="27" operator="equal">
      <formula>"B"</formula>
    </cfRule>
    <cfRule type="cellIs" dxfId="113" priority="28" operator="equal">
      <formula>"A"</formula>
    </cfRule>
  </conditionalFormatting>
  <conditionalFormatting sqref="A1">
    <cfRule type="cellIs" dxfId="112" priority="17" operator="equal">
      <formula>"F"</formula>
    </cfRule>
    <cfRule type="cellIs" dxfId="111" priority="18" operator="equal">
      <formula>"E"</formula>
    </cfRule>
    <cfRule type="cellIs" dxfId="110" priority="19" operator="equal">
      <formula>"D"</formula>
    </cfRule>
    <cfRule type="cellIs" dxfId="109" priority="20" operator="equal">
      <formula>"C"</formula>
    </cfRule>
    <cfRule type="cellIs" dxfId="108" priority="21" operator="equal">
      <formula>"B"</formula>
    </cfRule>
    <cfRule type="cellIs" dxfId="107" priority="22" operator="equal">
      <formula>"A"</formula>
    </cfRule>
  </conditionalFormatting>
  <conditionalFormatting sqref="B10:F10 B12:F12">
    <cfRule type="expression" dxfId="106" priority="16">
      <formula>B9="None"</formula>
    </cfRule>
  </conditionalFormatting>
  <conditionalFormatting sqref="B13">
    <cfRule type="expression" dxfId="105" priority="15">
      <formula>OR(B$15="No",OR(B$16="No",OR(B$17="No",OR(B$18="No"))))</formula>
    </cfRule>
  </conditionalFormatting>
  <conditionalFormatting sqref="C13:F13">
    <cfRule type="expression" dxfId="104" priority="14">
      <formula>OR(C$15="No",OR(C$16="No",OR(C$17="No",OR(C$18="No"))))</formula>
    </cfRule>
  </conditionalFormatting>
  <conditionalFormatting sqref="A17:F17">
    <cfRule type="expression" dxfId="103" priority="13">
      <formula>$A$17="-"</formula>
    </cfRule>
  </conditionalFormatting>
  <conditionalFormatting sqref="A18:F18">
    <cfRule type="expression" dxfId="102" priority="12">
      <formula>$A$18="-"</formula>
    </cfRule>
  </conditionalFormatting>
  <conditionalFormatting sqref="A2">
    <cfRule type="cellIs" dxfId="101" priority="6" operator="equal">
      <formula>"F"</formula>
    </cfRule>
    <cfRule type="cellIs" dxfId="100" priority="7" operator="equal">
      <formula>"E"</formula>
    </cfRule>
    <cfRule type="cellIs" dxfId="99" priority="8" operator="equal">
      <formula>"D"</formula>
    </cfRule>
    <cfRule type="cellIs" dxfId="98" priority="9" operator="equal">
      <formula>"C"</formula>
    </cfRule>
    <cfRule type="cellIs" dxfId="97" priority="10" operator="equal">
      <formula>"B"</formula>
    </cfRule>
    <cfRule type="cellIs" dxfId="96" priority="11" operator="equal">
      <formula>"A"</formula>
    </cfRule>
  </conditionalFormatting>
  <conditionalFormatting sqref="B2:F2">
    <cfRule type="expression" dxfId="95" priority="5">
      <formula>OR(B$15="No",OR(B$16="No",OR(B$17="No",OR(B$18="No"))))</formula>
    </cfRule>
  </conditionalFormatting>
  <conditionalFormatting sqref="B15:F18">
    <cfRule type="expression" dxfId="94" priority="4">
      <formula>OR(AND(B$9&lt;&gt;"None",B$10=""),AND(B$11&lt;&gt;"None",B$12=""))</formula>
    </cfRule>
  </conditionalFormatting>
  <conditionalFormatting sqref="A9:F13">
    <cfRule type="expression" dxfId="93" priority="3">
      <formula>$B$7=""</formula>
    </cfRule>
  </conditionalFormatting>
  <conditionalFormatting sqref="A15:F18">
    <cfRule type="expression" dxfId="92" priority="2">
      <formula>$B$7=""</formula>
    </cfRule>
  </conditionalFormatting>
  <conditionalFormatting sqref="A20:A27">
    <cfRule type="expression" dxfId="91" priority="1">
      <formula>$B$7=""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IF($A$18="-",'AT Check'!$E$3:$E$7,'AT Check'!$C$3:$D$3)</xm:f>
          </x14:formula1>
          <xm:sqref>B18:F18</xm:sqref>
        </x14:dataValidation>
        <x14:dataValidation type="list" allowBlank="1" showInputMessage="1" showErrorMessage="1">
          <x14:formula1>
            <xm:f>IF($A$17="-",'AT Check'!$E$3:$E$7,'AT Check'!$C$3:$D$3)</xm:f>
          </x14:formula1>
          <xm:sqref>B17:F17</xm:sqref>
        </x14:dataValidation>
        <x14:dataValidation type="list" allowBlank="1" showInputMessage="1" showErrorMessage="1">
          <x14:formula1>
            <xm:f>IF($B$7="UNSIGNALIZED INTERSECTIONS","",IF($B$7="SIGNALIZED INTERSECTIONS",Grades!$J$34:$O$34,""))</xm:f>
          </x14:formula1>
          <xm:sqref>C27</xm:sqref>
        </x14:dataValidation>
        <x14:dataValidation type="list" allowBlank="1" showInputMessage="1" showErrorMessage="1">
          <x14:formula1>
            <xm:f>Targets!$L$6:$L$8</xm:f>
          </x14:formula1>
          <xm:sqref>B9:F9 B11:F11</xm:sqref>
        </x14:dataValidation>
        <x14:dataValidation type="list" allowBlank="1" showInputMessage="1" showErrorMessage="1">
          <x14:formula1>
            <xm:f>IF($B$7="UNSIGNALIZED INTERSECTIONS",Grades!$I$7:$O$7,IF($B$7="SIGNALIZED INTERSECTIONS",Grades!$I$29:$O$29,Grades!$I$51:$O$51))</xm:f>
          </x14:formula1>
          <xm:sqref>B25</xm:sqref>
        </x14:dataValidation>
        <x14:dataValidation type="list" allowBlank="1" showInputMessage="1" showErrorMessage="1">
          <x14:formula1>
            <xm:f>IF($B$7="UNSIGNALIZED INTERSECTIONS",Grades!$I$24:$O$24,IF($B$7="SIGNALIZED INTERSECTIONS",Grades!$I$46:$O$46,Grades!$I$68:$O$68))</xm:f>
          </x14:formula1>
          <xm:sqref>F27</xm:sqref>
        </x14:dataValidation>
        <x14:dataValidation type="list" allowBlank="1" showInputMessage="1" showErrorMessage="1">
          <x14:formula1>
            <xm:f>IF($B$7="UNSIGNALIZED INTERSECTIONS",Grades!$I$23:$O$23,IF($B$7="SIGNALIZED INTERSECTIONS",Grades!$I$45:$O$45,Grades!$I$67:$O$67))</xm:f>
          </x14:formula1>
          <xm:sqref>F25</xm:sqref>
        </x14:dataValidation>
        <x14:dataValidation type="list" allowBlank="1" showInputMessage="1" showErrorMessage="1">
          <x14:formula1>
            <xm:f>IF($B$7="UNSIGNALIZED INTERSECTIONS",Grades!$I$22:$O$22,IF($B$7="SIGNALIZED INTERSECTIONS",Grades!$I$44:$O$44,Grades!$I$66:$O$66))</xm:f>
          </x14:formula1>
          <xm:sqref>F23</xm:sqref>
        </x14:dataValidation>
        <x14:dataValidation type="list" allowBlank="1" showInputMessage="1" showErrorMessage="1">
          <x14:formula1>
            <xm:f>IF($B$7="UNSIGNALIZED INTERSECTIONS",Grades!$I$21:$O$21,IF($B$7="SIGNALIZED INTERSECTIONS",Grades!$I$43:$O$43,Grades!$I$65:$O$65))</xm:f>
          </x14:formula1>
          <xm:sqref>F21</xm:sqref>
        </x14:dataValidation>
        <x14:dataValidation type="list" allowBlank="1" showInputMessage="1" showErrorMessage="1">
          <x14:formula1>
            <xm:f>IF($B$7="UNSIGNALIZED INTERSECTIONS",Grades!$I$20:$O$20,IF($B$7="SIGNALIZED INTERSECTIONS",Grades!$I$42:$O$42,Grades!$I$64:$O$64))</xm:f>
          </x14:formula1>
          <xm:sqref>E27</xm:sqref>
        </x14:dataValidation>
        <x14:dataValidation type="list" allowBlank="1" showInputMessage="1" showErrorMessage="1">
          <x14:formula1>
            <xm:f>IF($B$7="UNSIGNALIZED INTERSECTIONS",Grades!$I$19:$O$19,IF($B$7="SIGNALIZED INTERSECTIONS",Grades!$I$41:$O$41,Grades!$I$63:$O$63))</xm:f>
          </x14:formula1>
          <xm:sqref>E25</xm:sqref>
        </x14:dataValidation>
        <x14:dataValidation type="list" allowBlank="1" showInputMessage="1" showErrorMessage="1">
          <x14:formula1>
            <xm:f>IF($B$7="UNSIGNALIZED INTERSECTIONS",Grades!$I$18:$O$18,IF($B$7="SIGNALIZED INTERSECTIONS",Grades!$I$40:$O$40,Grades!$I$62:$O$62))</xm:f>
          </x14:formula1>
          <xm:sqref>E23</xm:sqref>
        </x14:dataValidation>
        <x14:dataValidation type="list" allowBlank="1" showInputMessage="1" showErrorMessage="1">
          <x14:formula1>
            <xm:f>IF($B$7="UNSIGNALIZED INTERSECTIONS",Grades!$I$17:$O$17,IF($B$7="SIGNALIZED INTERSECTIONS",Grades!$I$39:$O$39,Grades!$I$61:$O$61))</xm:f>
          </x14:formula1>
          <xm:sqref>E21</xm:sqref>
        </x14:dataValidation>
        <x14:dataValidation type="list" allowBlank="1" showInputMessage="1" showErrorMessage="1">
          <x14:formula1>
            <xm:f>IF($B$7="UNSIGNALIZED INTERSECTIONS",Grades!$I$16:$O$16,IF($B$7="SIGNALIZED INTERSECTIONS",Grades!$I$38:$O$38,Grades!$I$60:$O$60))</xm:f>
          </x14:formula1>
          <xm:sqref>D27</xm:sqref>
        </x14:dataValidation>
        <x14:dataValidation type="list" allowBlank="1" showInputMessage="1" showErrorMessage="1">
          <x14:formula1>
            <xm:f>IF($B$7="UNSIGNALIZED INTERSECTIONS",Grades!$I$15:$O$15,IF($B$7="SIGNALIZED INTERSECTIONS",Grades!$I$37:$O$37,Grades!$I$59:$O$59))</xm:f>
          </x14:formula1>
          <xm:sqref>D25</xm:sqref>
        </x14:dataValidation>
        <x14:dataValidation type="list" allowBlank="1" showInputMessage="1" showErrorMessage="1">
          <x14:formula1>
            <xm:f>IF($B$7="UNSIGNALIZED INTERSECTIONS",Grades!$I$14:$O$14,IF($B$7="SIGNALIZED INTERSECTIONS",Grades!$I$36:$O$36,Grades!$I$58:$O$58))</xm:f>
          </x14:formula1>
          <xm:sqref>D23</xm:sqref>
        </x14:dataValidation>
        <x14:dataValidation type="list" allowBlank="1" showInputMessage="1" showErrorMessage="1">
          <x14:formula1>
            <xm:f>IF($B$7="UNSIGNALIZED INTERSECTIONS",Grades!$I$13:$O$13,IF($B$7="SIGNALIZED INTERSECTIONS",Grades!$I$35:$O$35,Grades!$I$57:$O$57))</xm:f>
          </x14:formula1>
          <xm:sqref>D21</xm:sqref>
        </x14:dataValidation>
        <x14:dataValidation type="list" allowBlank="1" showInputMessage="1" showErrorMessage="1">
          <x14:formula1>
            <xm:f>IF($B$7="UNSIGNALIZED INTERSECTIONS",Grades!$I$6:$O$6,IF($B$7="SIGNALIZED INTERSECTIONS",Grades!$I$28:$O$28,Grades!$I$50:$O$50))</xm:f>
          </x14:formula1>
          <xm:sqref>B23</xm:sqref>
        </x14:dataValidation>
        <x14:dataValidation type="list" allowBlank="1" showInputMessage="1" showErrorMessage="1">
          <x14:formula1>
            <xm:f>IF($B$7="UNSIGNALIZED INTERSECTIONS",Grades!$I$5:$O$5,IF($B$7="SIGNALIZED INTERSECTIONS",Grades!$I$27:$O$27,Grades!$I$49:$O$49))</xm:f>
          </x14:formula1>
          <xm:sqref>B21</xm:sqref>
        </x14:dataValidation>
        <x14:dataValidation type="list" allowBlank="1" showInputMessage="1" showErrorMessage="1">
          <x14:formula1>
            <xm:f>IF($B$7="UNSIGNALIZED INTERSECTIONS",Grades!$J$11:$O$11,IF($B$7="SIGNALIZED INTERSECTIONS",Grades!$J$33:$O$33,Grades!$J$55:$O$55))</xm:f>
          </x14:formula1>
          <xm:sqref>C25</xm:sqref>
        </x14:dataValidation>
        <x14:dataValidation type="list" allowBlank="1" showInputMessage="1" showErrorMessage="1">
          <x14:formula1>
            <xm:f>IF($B$7="UNSIGNALIZED INTERSECTIONS",Grades!$J$9:$O$9,IF($B$7="SIGNALIZED INTERSECTIONS",Grades!$J$31:$O$31,Grades!$J$53:$O$53))</xm:f>
          </x14:formula1>
          <xm:sqref>C21</xm:sqref>
        </x14:dataValidation>
        <x14:dataValidation type="list" allowBlank="1" showInputMessage="1" showErrorMessage="1">
          <x14:formula1>
            <xm:f>IF($B$7="UNSIGNALIZED INTERSECTIONS",Grades!$J$10:$O$10,IF($B$7="SIGNALIZED INTERSECTIONS",Grades!$J$32:$O$32,Grades!$J$54:$O$54))</xm:f>
          </x14:formula1>
          <xm:sqref>C23</xm:sqref>
        </x14:dataValidation>
        <x14:dataValidation type="list" allowBlank="1" showInputMessage="1" showErrorMessage="1">
          <x14:formula1>
            <xm:f>IF($B$7="UNSIGNALIZED INTERSECTIONS","",IF($B$7="SIGNALIZED INTERSECTIONS",Grades!$J$30:$O$30,""))</xm:f>
          </x14:formula1>
          <xm:sqref>B27</xm:sqref>
        </x14:dataValidation>
        <x14:dataValidation type="list" allowBlank="1" showInputMessage="1" showErrorMessage="1">
          <x14:formula1>
            <xm:f>Targets!$D$7:$D$15</xm:f>
          </x14:formula1>
          <xm:sqref>B4:F4</xm:sqref>
        </x14:dataValidation>
        <x14:dataValidation type="list" allowBlank="1" showInputMessage="1" showErrorMessage="1">
          <x14:formula1>
            <xm:f>'AT Check'!$C$3:$D$3</xm:f>
          </x14:formula1>
          <xm:sqref>B15:F16</xm:sqref>
        </x14:dataValidation>
        <x14:dataValidation type="list" allowBlank="1" showInputMessage="1" showErrorMessage="1">
          <x14:formula1>
            <xm:f>Grades!$R$9:$R$11</xm:f>
          </x14:formula1>
          <xm:sqref>B7:F7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C064"/>
  </sheetPr>
  <dimension ref="A1:M27"/>
  <sheetViews>
    <sheetView workbookViewId="0"/>
  </sheetViews>
  <sheetFormatPr defaultRowHeight="14.4" x14ac:dyDescent="0.3"/>
  <cols>
    <col min="1" max="1" width="45" customWidth="1"/>
    <col min="2" max="6" width="38.5546875" customWidth="1"/>
  </cols>
  <sheetData>
    <row r="1" spans="1:13" ht="15.6" x14ac:dyDescent="0.3">
      <c r="A1" s="52" t="s">
        <v>87</v>
      </c>
      <c r="B1" s="53"/>
      <c r="C1" s="53"/>
      <c r="D1" s="53"/>
      <c r="E1" s="53"/>
      <c r="F1" s="53"/>
      <c r="L1" s="257"/>
      <c r="M1" s="257"/>
    </row>
    <row r="2" spans="1:13" ht="34.200000000000003" thickBot="1" x14ac:dyDescent="0.35">
      <c r="A2" s="296" t="s">
        <v>14</v>
      </c>
      <c r="B2" s="297" t="str">
        <f>B13</f>
        <v/>
      </c>
      <c r="C2" s="297" t="str">
        <f t="shared" ref="C2:F2" si="0">C13</f>
        <v/>
      </c>
      <c r="D2" s="297" t="str">
        <f t="shared" si="0"/>
        <v/>
      </c>
      <c r="E2" s="297" t="str">
        <f t="shared" si="0"/>
        <v>E</v>
      </c>
      <c r="F2" s="297" t="str">
        <f t="shared" si="0"/>
        <v/>
      </c>
    </row>
    <row r="3" spans="1:13" ht="24.6" thickTop="1" thickBot="1" x14ac:dyDescent="0.35">
      <c r="A3" s="299" t="s">
        <v>13</v>
      </c>
      <c r="B3" s="393" t="s">
        <v>266</v>
      </c>
      <c r="C3" s="393"/>
      <c r="D3" s="393"/>
      <c r="E3" s="393"/>
      <c r="F3" s="393"/>
    </row>
    <row r="4" spans="1:13" ht="22.2" thickTop="1" thickBot="1" x14ac:dyDescent="0.35">
      <c r="A4" s="54" t="s">
        <v>22</v>
      </c>
      <c r="B4" s="395" t="s">
        <v>192</v>
      </c>
      <c r="C4" s="395"/>
      <c r="D4" s="395"/>
      <c r="E4" s="395"/>
      <c r="F4" s="395"/>
    </row>
    <row r="5" spans="1:13" ht="65.55" customHeight="1" thickTop="1" x14ac:dyDescent="0.3">
      <c r="A5" s="55" t="s">
        <v>28</v>
      </c>
      <c r="B5" s="56"/>
      <c r="C5" s="57"/>
      <c r="D5" s="57"/>
      <c r="E5" s="57"/>
      <c r="F5" s="58"/>
    </row>
    <row r="6" spans="1:13" ht="23.4" x14ac:dyDescent="0.3">
      <c r="A6" s="397"/>
      <c r="B6" s="397"/>
      <c r="C6" s="397"/>
      <c r="D6" s="397"/>
      <c r="E6" s="397"/>
      <c r="F6" s="397"/>
    </row>
    <row r="7" spans="1:13" ht="23.4" x14ac:dyDescent="0.3">
      <c r="A7" s="237" t="s">
        <v>176</v>
      </c>
      <c r="B7" s="400" t="s">
        <v>181</v>
      </c>
      <c r="C7" s="400"/>
      <c r="D7" s="400"/>
      <c r="E7" s="400"/>
      <c r="F7" s="400"/>
    </row>
    <row r="8" spans="1:13" ht="33.6" x14ac:dyDescent="0.3">
      <c r="A8" s="59" t="s">
        <v>15</v>
      </c>
      <c r="B8" s="60" t="str">
        <f>_xlfn.IFNA(VLOOKUP(IF(OR(AND(B9="Upwards",B11="None"),AND(B11="Upwards",B9="None")),INDEX(Grades!R17:S22,MATCH(VLOOKUP($B$4,Targets!$D$6:$I$15,2,FALSE),Grades!R17:R22,0)-1,2),IF(OR(AND(B9="Downwards",B11="None"),AND(B9="Downwards",B11="None")),INDEX(Grades!R17:S22,MATCH(VLOOKUP($B$4,Targets!$D$6:$I$15,2,FALSE),Grades!R17:R22,0)+1,2),IF(AND(B11="Upwards",B9="Upwards"),INDEX(Grades!R17:S22,MATCH(VLOOKUP($B$4,Targets!$D$6:$I$15,2,FALSE),Grades!R17:R22,0)-2,2),IF(AND(B9="Downwards",B11="Downwards"),INDEX(Grades!R17:S22,MATCH(VLOOKUP($B$4,Targets!$D$6:$I$15,2,FALSE),Grades!R17:R22,0)+2,2),INDEX(Grades!R17:S22,MATCH(VLOOKUP($B$4,Targets!$D$6:$I$15,2,FALSE),Grades!R17:R22,0),2))))),Grades!S17:T22,2,FALSE),"")</f>
        <v/>
      </c>
      <c r="C8" s="60" t="s">
        <v>2</v>
      </c>
      <c r="D8" s="60" t="s">
        <v>4</v>
      </c>
      <c r="E8" s="60" t="s">
        <v>175</v>
      </c>
      <c r="F8" s="60" t="s">
        <v>4</v>
      </c>
      <c r="K8" s="292"/>
    </row>
    <row r="9" spans="1:13" ht="33.6" x14ac:dyDescent="0.3">
      <c r="A9" s="59" t="s">
        <v>265</v>
      </c>
      <c r="B9" s="258" t="s">
        <v>236</v>
      </c>
      <c r="C9" s="258" t="s">
        <v>236</v>
      </c>
      <c r="D9" s="258" t="s">
        <v>236</v>
      </c>
      <c r="E9" s="258" t="s">
        <v>236</v>
      </c>
      <c r="F9" s="258" t="s">
        <v>236</v>
      </c>
    </row>
    <row r="10" spans="1:13" ht="23.4" x14ac:dyDescent="0.3">
      <c r="A10" s="59" t="s">
        <v>237</v>
      </c>
      <c r="B10" s="298"/>
      <c r="C10" s="298"/>
      <c r="D10" s="298"/>
      <c r="E10" s="298"/>
      <c r="F10" s="298"/>
    </row>
    <row r="11" spans="1:13" ht="33.6" x14ac:dyDescent="0.3">
      <c r="A11" s="59" t="s">
        <v>264</v>
      </c>
      <c r="B11" s="258" t="s">
        <v>236</v>
      </c>
      <c r="C11" s="258" t="s">
        <v>236</v>
      </c>
      <c r="D11" s="258" t="s">
        <v>236</v>
      </c>
      <c r="E11" s="258" t="s">
        <v>236</v>
      </c>
      <c r="F11" s="258" t="s">
        <v>236</v>
      </c>
    </row>
    <row r="12" spans="1:13" ht="23.4" x14ac:dyDescent="0.3">
      <c r="A12" s="59" t="s">
        <v>237</v>
      </c>
      <c r="B12" s="298"/>
      <c r="C12" s="298"/>
      <c r="D12" s="298"/>
      <c r="E12" s="298"/>
      <c r="F12" s="298"/>
    </row>
    <row r="13" spans="1:13" ht="34.200000000000003" thickBot="1" x14ac:dyDescent="0.35">
      <c r="A13" s="59" t="s">
        <v>14</v>
      </c>
      <c r="B13" s="261" t="str">
        <f>_xlfn.IFNA(VLOOKUP(IF(B7="UNSIGNALIZED INTERSECTIONS",ROUND(((IF(B21="",0,INDEX(Grades!$R$17:$T$22,MATCH(B21,Grades!$J5:$O5,0),2))*VLOOKUP('Inter 2'!B20,Grades!$G5:$I24,2,FALSE))+((IF(B23="",0,INDEX(Grades!$R$17:$T$22,MATCH(B23,Grades!$J6:$O6,0),2)))*VLOOKUP('Inter 2'!B22,Grades!$G5:$I24,2,FALSE))+((IF(B25="",0,INDEX(Grades!$R$17:$T$22,MATCH(B25,Grades!$J7:$O7,0),2)))*IF(B24="",0,VLOOKUP('Inter 2'!B24,Grades!$G5:$I24,2,FALSE)))+((IF(B27="",0,INDEX(Grades!$R$17:$T$22,MATCH(B27,Grades!$J8:$O8,0),2)))*IF(B26="",0,VLOOKUP('Inter 2'!B26,Grades!$G5:$I24,2,FALSE)))),0),IF(B7="SIGNALIZED INTERSECTIONS",ROUND((IF(B21="",0,INDEX(Grades!$R$17:$T$22,MATCH(B21,Grades!$J27:$O27,0),2)*VLOOKUP('Inter 2'!B20,Grades!$G27:$H46,2,FALSE))+(IF(B23="",0,INDEX(Grades!$R$17:$T$22,MATCH(B23,Grades!$J28:$O28,0),2)*VLOOKUP('Inter 2'!B22,Grades!$G27:$H46,2,FALSE)))+(IF(B25="",0,INDEX(Grades!$R$17:$T$22,MATCH(B25,Grades!$J29:$O29,0),2))*IF(B24="",0,VLOOKUP('Inter 2'!B24,Grades!$G27:$H46,2,FALSE)))+(IF(B27="",0,INDEX(Grades!$R$17:$T$22,MATCH(B27,Grades!$J30:$O30,0),2))*IF(B26="",0,VLOOKUP('Inter 2'!B26,Grades!$G27:$H46,2,FALSE)))),0),ROUND((IF(B21="",0,INDEX(Grades!$R$17:$T$22,MATCH(B21,Grades!$J49:$O49,0),2)*VLOOKUP('Inter 2'!B20,Grades!$G49:$H68,2,FALSE))+(IF(B23="",0,INDEX(Grades!$R$17:$T$22,MATCH(B23,Grades!$J50:$O50,0),2)*VLOOKUP('Inter 2'!B22,Grades!$G49:$H68,2,FALSE)))+(IF(B25="",0,INDEX(Grades!$R$17:$T$22,MATCH(B25,Grades!$J51:$O51,0),2)*IF(B24="",0,VLOOKUP('Inter 2'!B24,Grades!$G49:$H68,2,FALSE))))+(IF(B27="",0,INDEX(Grades!$R$17:$T$22,MATCH(B27,Grades!$J52:$O52,0),2)*IF(B26="",0,VLOOKUP('Inter 2'!B26,Grades!$G49:$H68,2,FALSE))))),0))),Grades!$S$17:$T$22,2,FALSE),"")</f>
        <v/>
      </c>
      <c r="C13" s="261" t="str">
        <f>_xlfn.IFNA(VLOOKUP(IF(B7="UNSIGNALIZED INTERSECTIONS",ROUND(((IF(C21="",0,INDEX(Grades!$R$17:$T$22,MATCH(C21,Grades!$J9:$O9,0),2))*VLOOKUP('Inter 2'!C20,Grades!G5:I24,2,FALSE))+((IF(C23="",0,INDEX(Grades!$R$17:$T$22,MATCH(C23,Grades!$J10:$O10,0),2)))*VLOOKUP('Inter 2'!C22,Grades!G5:I24,2,FALSE))+((IF(C25="",0,INDEX(Grades!$R$17:$T$22,MATCH(C25,Grades!$J11:$O11,0),2)))*IF(C24="",0,VLOOKUP('Inter 2'!C24,Grades!G5:I24,2,FALSE)))+((IF(C27="",0,INDEX(Grades!$R$17:$T$22,MATCH(C27,Grades!$J12:$O12,0),2)))*IF(C26="",0,VLOOKUP('Inter 2'!C26,Grades!G5:I24,2,FALSE)))),0),IF(B7="SIGNALIZED INTERSECTIONS",ROUND((IF(C21="",0,INDEX(Grades!$R$17:$T$22,MATCH(C21,Grades!$J31:$O31,0),2)*VLOOKUP('Inter 2'!C20,Grades!G27:I46,2,FALSE))+(IF(C23="",0,INDEX(Grades!$R$17:$T$22,MATCH(C23,Grades!$J32:$O32,0),2)*VLOOKUP('Inter 2'!C22,Grades!G27:I46,2,FALSE)))+(IF(C25="",0,INDEX(Grades!$R$17:$T$22,MATCH(C25,Grades!$J33:$O33,0),2))*IF(C24="",0,VLOOKUP('Inter 2'!C24,Grades!G27:I46,2,FALSE)))+(IF(C27="",0,INDEX(Grades!$R$17:$T$22,MATCH(C27,Grades!$J34:$O34,0),2))*IF(C26="",0,VLOOKUP('Inter 2'!C26,Grades!G27:I46,2,FALSE)))),0),ROUND((IF(C21="",0,INDEX(Grades!$R$17:$T$22,MATCH(C21,Grades!$J53:$O53,0),2)*VLOOKUP('Inter 2'!C20,Grades!G49:I68,2,FALSE))+(IF(C23="",0,INDEX(Grades!$R$17:$T$22,MATCH(C23,Grades!$J54:$O54,0),2)*VLOOKUP('Inter 2'!C22,Grades!G49:I68,2,FALSE)))+(IF(C25="",0,INDEX(Grades!$R$17:$T$22,MATCH(C25,Grades!$J55:$O55,0),2)*IF(C24="",0,VLOOKUP('Inter 2'!C24,Grades!G49:I68,2,FALSE))))+(IF(C27="",0,INDEX(Grades!$R$17:$T$22,MATCH(C27,Grades!$J56:$O56,0),2)*IF(C26="",0,VLOOKUP('Inter 2'!C26,Grades!G49:I68,2,FALSE))))),0))),Grades!$S$17:$T$22,2,FALSE),"")</f>
        <v/>
      </c>
      <c r="D13" s="261" t="str">
        <f>_xlfn.IFNA(VLOOKUP(IF(B7="UNSIGNALIZED INTERSECTIONS",ROUND(((IF(D21="",0,INDEX(Grades!$R$17:$T$22,MATCH(D21,Grades!$J13:$O13,0),2))*VLOOKUP('Inter 2'!D20,Grades!$G5:$I24,2,FALSE))+((IF(D23="",0,INDEX(Grades!$R$17:$T$22,MATCH(D23,Grades!$J14:$O14,0),2)))*VLOOKUP('Inter 2'!D22,Grades!$G5:$I24,2,FALSE))+((IF(D25="",0,INDEX(Grades!$R$17:$T$22,MATCH(D25,Grades!$J15:$O15,0),2)))*IF(D24="",0,VLOOKUP('Inter 2'!D24,Grades!$G5:$I24,2,FALSE)))+((IF(D27="",0,INDEX(Grades!$R$17:$T$22,MATCH(D27,Grades!$J16:$O16,0),2)))*IF(D26="",0,VLOOKUP('Inter 2'!D26,Grades!$G5:$I24,2,FALSE)))),0),IF(B7="SIGNALIZED INTERSECTIONS",ROUND((IF(D21="",0,INDEX(Grades!$R$17:$T$22,MATCH(D21,Grades!$J35:$O35,0),2)*VLOOKUP('Inter 2'!D20,Grades!$G27:$H46,2,FALSE))+(IF(D23="",0,INDEX(Grades!$R$17:$T$22,MATCH(D23,Grades!$J36:$O36,0),2)*VLOOKUP('Inter 2'!D22,Grades!$G27:$H46,2,FALSE)))+(IF(D25="",0,INDEX(Grades!$R$17:$T$22,MATCH(D25,Grades!$J37:$O37,0),2))*IF(D24="",0,VLOOKUP('Inter 2'!D24,Grades!$G27:$H46,2,FALSE)))+(IF(D27="",0,INDEX(Grades!$R$17:$T$22,MATCH(D27,Grades!$J38:$O38,0),2))*IF(D26="",0,VLOOKUP('Inter 2'!D26,Grades!$G27:$H46,2,FALSE)))),0),ROUND((IF(D21="",0,INDEX(Grades!$R$17:$T$22,MATCH(D21,Grades!$J57:$O57,0),2)*VLOOKUP('Inter 2'!D20,Grades!$G49:$H68,2,FALSE))+(IF(D23="",0,INDEX(Grades!$R$17:$T$22,MATCH(D23,Grades!$J58:$O58,0),2)*VLOOKUP('Inter 2'!D22,Grades!$G49:$H68,2,FALSE)))+(IF(D25="",0,INDEX(Grades!$R$17:$T$22,MATCH(D25,Grades!$J59:$O59,0),2)*IF(D24="",0,VLOOKUP('Inter 2'!D24,Grades!$G49:$H68,2,FALSE))))+(IF(D27="",0,INDEX(Grades!$R$17:$T$22,MATCH(D27,Grades!$J60:$O60,0),2)*IF(D26="",0,VLOOKUP('Inter 2'!D26,Grades!$G49:$H68,2,FALSE))))),0))),Grades!$S$17:$T$22,2,FALSE),"")</f>
        <v/>
      </c>
      <c r="E13" s="261" t="str">
        <f>_xlfn.IFNA(VLOOKUP(IF(B7="UNSIGNALIZED INTERSECTIONS",ROUND(((IF(E21="",0,INDEX(Grades!$R$17:$T$22,MATCH(E21,Grades!$J17:$O17,0),2))*VLOOKUP('Inter 2'!E20,Grades!$G5:$I24,2,FALSE))+((IF(E23="",0,INDEX(Grades!$R$17:$T$22,MATCH(E23,Grades!$J18:$O18,0),2)))*VLOOKUP('Inter 2'!E22,Grades!$G5:$I24,2,FALSE))+((IF(E25="",0,INDEX(Grades!$R$17:$T$22,MATCH(E25,Grades!$J19:$O19,0),2)))*IF(E24="",0,VLOOKUP('Inter 2'!E24,Grades!$G5:$I24,2,FALSE)))+((IF(E27="",0,INDEX(Grades!$R$17:$T$22,MATCH(E27,Grades!$J20:$O20,0),2)))*IF(E26="",0,VLOOKUP('Inter 2'!E26,Grades!$G5:$I24,2,FALSE)))),0),IF(B7="SIGNALIZED INTERSECTIONS",ROUND((IF(E21="",0,INDEX(Grades!$R$17:$T$22,MATCH(E21,Grades!$J39:$O39,0),2)*VLOOKUP('Inter 2'!E20,Grades!$G27:$H46,2,FALSE))+(IF(E23="",0,INDEX(Grades!$R$17:$T$22,MATCH(E23,Grades!$J40:$O40,0),2)*VLOOKUP('Inter 2'!E22,Grades!$G27:$H46,2,FALSE)))+(IF(E25="",0,INDEX(Grades!$R$17:$T$22,MATCH(E25,Grades!$J41:$O41,0),2))*IF(E24="",0,VLOOKUP('Inter 2'!E24,Grades!$G27:$H46,2,FALSE)))+(IF(E27="",0,INDEX(Grades!$R$17:$T$22,MATCH(E27,Grades!$J42:$O42,0),2))*IF(E26="",0,VLOOKUP('Inter 2'!E26,Grades!$G27:$H46,2,FALSE)))),0),ROUND((IF(E21="",0,INDEX(Grades!$R$17:$T$22,MATCH(E21,Grades!$J61:$O61,0),2)*VLOOKUP('Inter 2'!E20,Grades!$G49:$H68,2,FALSE))+(IF(E23="",0,INDEX(Grades!$R$17:$T$22,MATCH(E23,Grades!$J62:$O62,0),2)*VLOOKUP('Inter 2'!E22,Grades!$G49:$H68,2,FALSE)))+(IF(E25="",0,INDEX(Grades!$R$17:$T$22,MATCH(E25,Grades!$J63:$O63,0),2)*IF(E24="",0,VLOOKUP('Inter 2'!E24,Grades!$G49:$H68,2,FALSE))))+(IF(E27="",0,INDEX(Grades!$R$17:$T$22,MATCH(E27,Grades!$J64:$O64,0),2)*IF(E26="",0,VLOOKUP('Inter 2'!E26,Grades!$G49:$H68,2,FALSE))))),0))),Grades!$S$17:$T$22,2,FALSE),"")</f>
        <v>E</v>
      </c>
      <c r="F13" s="261" t="str">
        <f>_xlfn.IFNA(VLOOKUP(IF(B7="UNSIGNALIZED INTERSECTIONS",ROUND(((IF(F21="",0,INDEX(Grades!$R$17:$T$22,MATCH(F21,Grades!$J21:$O21,0),2))*VLOOKUP('Inter 2'!F20,Grades!$G5:$I24,2,FALSE))+((IF(F23="",0,INDEX(Grades!$R$17:$T$22,MATCH(F23,Grades!$J22:$O22,0),2)))*VLOOKUP('Inter 2'!F22,Grades!$G5:$I24,2,FALSE))+((IF(F25="",0,INDEX(Grades!$R$17:$T$22,MATCH(F25,Grades!$J23:$O23,0),2)))*IF(F24="",0,VLOOKUP('Inter 2'!F24,Grades!$G5:$I24,2,FALSE)))+((IF(F27="",0,INDEX(Grades!$R$17:$T$22,MATCH(F27,Grades!$J24:$O24,0),2)))*IF(F26="",0,VLOOKUP('Inter 2'!F26,Grades!$G5:$I24,2,FALSE)))),0),IF(B7="SIGNALIZED INTERSECTIONS",ROUND((IF(F21="",0,INDEX(Grades!$R$17:$T$22,MATCH(F21,Grades!$J43:$O43,0),2)*VLOOKUP('Inter 2'!F20,Grades!$G27:$H46,2,FALSE))+(IF(F23="",0,INDEX(Grades!$R$17:$T$22,MATCH(F23,Grades!$J44:$O44,0),2)*VLOOKUP('Inter 2'!F22,Grades!$G27:$H46,2,FALSE)))+(IF(F25="",0,INDEX(Grades!$R$17:$T$22,MATCH(F25,Grades!$J45:$O45,0),2))*IF(F24="",0,VLOOKUP('Inter 2'!F24,Grades!$G27:$H46,2,FALSE)))+(IF(F27="",0,INDEX(Grades!$R$17:$T$22,MATCH(F27,Grades!$J46:$O46,0),2))*IF(F26="",0,VLOOKUP('Inter 2'!F26,Grades!$G27:$H46,2,FALSE)))),0),ROUND((IF(F21="",0,INDEX(Grades!$R$17:$T$22,MATCH(F21,Grades!$J65:$O65,0),2)*VLOOKUP('Inter 2'!F20,Grades!$G49:$H68,2,FALSE))+(IF(F23="",0,INDEX(Grades!$R$17:$T$22,MATCH(F23,Grades!$J66:$O66,0),2)*VLOOKUP('Inter 2'!F22,Grades!$G49:$H68,2,FALSE)))+(IF(F25="",0,INDEX(Grades!$R$17:$T$22,MATCH(F25,Grades!$J67:$O67,0),2)*IF(F24="",0,VLOOKUP('Inter 2'!F24,Grades!$G49:$H68,2,FALSE))))+(IF(F27="",0,INDEX(Grades!$R$17:$T$22,MATCH(F27,Grades!$J68:$O68,0),2)*IF(F26="",0,VLOOKUP('Inter 2'!F26,Grades!$G49:$H68,2,FALSE))))),0))),Grades!$S$17:$T$22,2,FALSE),"")</f>
        <v/>
      </c>
    </row>
    <row r="14" spans="1:13" ht="23.55" customHeight="1" thickTop="1" thickBot="1" x14ac:dyDescent="0.35">
      <c r="A14" s="402" t="s">
        <v>246</v>
      </c>
      <c r="B14" s="403"/>
      <c r="C14" s="403"/>
      <c r="D14" s="403"/>
      <c r="E14" s="403"/>
      <c r="F14" s="404"/>
    </row>
    <row r="15" spans="1:13" ht="79.95" customHeight="1" thickTop="1" thickBot="1" x14ac:dyDescent="0.35">
      <c r="A15" s="264" t="str">
        <f>IF(B7="SEGMENTS",'AT Check'!B5,'AT Check'!B7)</f>
        <v>Are marked pedestrian crossings provided to connect all approaching pedestrian facilities?</v>
      </c>
      <c r="B15" s="293" t="s">
        <v>20</v>
      </c>
      <c r="C15" s="293" t="s">
        <v>20</v>
      </c>
      <c r="D15" s="293" t="s">
        <v>20</v>
      </c>
      <c r="E15" s="293" t="s">
        <v>20</v>
      </c>
      <c r="F15" s="293" t="s">
        <v>20</v>
      </c>
    </row>
    <row r="16" spans="1:13" ht="79.95" customHeight="1" thickTop="1" thickBot="1" x14ac:dyDescent="0.35">
      <c r="A16" s="264" t="str">
        <f>IF(B7="SEGMENTS",'AT Check'!B6,'AT Check'!B8)</f>
        <v>Does the approaching bike facility continue at a consistent width up to the edge of the intersection (crosswalk or curb edge of intersecting roadway)?</v>
      </c>
      <c r="B16" s="293" t="s">
        <v>20</v>
      </c>
      <c r="C16" s="293" t="s">
        <v>20</v>
      </c>
      <c r="D16" s="293" t="s">
        <v>20</v>
      </c>
      <c r="E16" s="293" t="s">
        <v>20</v>
      </c>
      <c r="F16" s="293" t="s">
        <v>20</v>
      </c>
    </row>
    <row r="17" spans="1:6" ht="79.95" customHeight="1" thickTop="1" thickBot="1" x14ac:dyDescent="0.35">
      <c r="A17" s="264" t="str">
        <f>IF(B7="SEGMENTS","-",'AT Check'!B9)</f>
        <v>Is a continuous amount of space and accompanying pavement makings delineated for cyclists through the intersection?</v>
      </c>
      <c r="B17" s="293" t="s">
        <v>20</v>
      </c>
      <c r="C17" s="293" t="s">
        <v>20</v>
      </c>
      <c r="D17" s="293" t="s">
        <v>20</v>
      </c>
      <c r="E17" s="293" t="s">
        <v>20</v>
      </c>
      <c r="F17" s="293" t="s">
        <v>20</v>
      </c>
    </row>
    <row r="18" spans="1:6" ht="79.95" customHeight="1" thickTop="1" thickBot="1" x14ac:dyDescent="0.35">
      <c r="A18" s="264" t="str">
        <f>IF(B7="SEGMENTS","-",'AT Check'!B10)</f>
        <v>Does the intersection design provide features which facilitate all the intended turn movements for cyclists (e.g. bike boxes, queuing space, protected intersection, etc)?</v>
      </c>
      <c r="B18" s="293" t="s">
        <v>20</v>
      </c>
      <c r="C18" s="293" t="s">
        <v>20</v>
      </c>
      <c r="D18" s="293" t="s">
        <v>20</v>
      </c>
      <c r="E18" s="293" t="s">
        <v>20</v>
      </c>
      <c r="F18" s="293" t="s">
        <v>20</v>
      </c>
    </row>
    <row r="19" spans="1:6" ht="30" customHeight="1" thickTop="1" x14ac:dyDescent="0.3">
      <c r="A19" s="405" t="s">
        <v>247</v>
      </c>
      <c r="B19" s="405"/>
      <c r="C19" s="405"/>
      <c r="D19" s="405"/>
      <c r="E19" s="405"/>
      <c r="F19" s="405"/>
    </row>
    <row r="20" spans="1:6" ht="49.95" customHeight="1" x14ac:dyDescent="0.3">
      <c r="A20" s="421" t="s">
        <v>228</v>
      </c>
      <c r="B20" s="294" t="str">
        <f>IF(B7="SIGNALIZED INTERSECTIONS",Grades!G27,IF(B7="UNSIGNALIZED INTERSECTIONS",Grades!G5,Grades!G49))</f>
        <v>Enhanced Pedestrian Measures</v>
      </c>
      <c r="C20" s="294" t="str">
        <f>IF(B7="UNSIGNALIZED INTERSECTIONS",Grades!G9,IF(B7="SIGNALIZED INTERSECTIONS",Grades!G31,Grades!G53))</f>
        <v>Enhanced Bicycle Facilities</v>
      </c>
      <c r="D20" s="294" t="str">
        <f>IF($B$7="UNSIGNALIZED INTERSECTIONS",Grades!G13,IF($B$7="SIGNALIZED INTERSECTIONS",Grades!$G$35,Grades!$G$57))</f>
        <v xml:space="preserve">Transit Priority Measures </v>
      </c>
      <c r="E20" s="294" t="str">
        <f>IF($B$7="UNSIGNALIZED INTERSECTIONS",Grades!G17,IF($B$7="SIGNALIZED INTERSECTIONS",Grades!$G$39,Grades!$G$61))</f>
        <v xml:space="preserve">Average Effective Turning Radius 
(m) </v>
      </c>
      <c r="F20" s="294" t="str">
        <f>IF($B$7="UNSIGNALIZED INTERSECTIONS",Grades!G21,IF($B$7="SIGNALIZED INTERSECTIONS",Grades!$G$43,Grades!$G$65))</f>
        <v xml:space="preserve">% of Movements with 
Dedicated Turn Lanes </v>
      </c>
    </row>
    <row r="21" spans="1:6" ht="49.95" customHeight="1" x14ac:dyDescent="0.3">
      <c r="A21" s="421"/>
      <c r="B21" s="295" t="s">
        <v>30</v>
      </c>
      <c r="C21" s="295" t="s">
        <v>199</v>
      </c>
      <c r="D21" s="295" t="s">
        <v>213</v>
      </c>
      <c r="E21" s="295" t="s">
        <v>258</v>
      </c>
      <c r="F21" s="295" t="s">
        <v>168</v>
      </c>
    </row>
    <row r="22" spans="1:6" ht="49.95" customHeight="1" x14ac:dyDescent="0.3">
      <c r="A22" s="421" t="s">
        <v>229</v>
      </c>
      <c r="B22" s="294" t="str">
        <f>IF(B7="SIGNALIZED INTERSECTIONS",Grades!G28,IF(B7="UNSIGNALIZED INTERSECTIONS",Grades!G6,Grades!G50))</f>
        <v xml:space="preserve">Average Effective Turning Radius 
(m) </v>
      </c>
      <c r="C22" s="294" t="str">
        <f>IF(B7="SIGNALIZED INTERSECTIONS",Grades!G32,IF(B7="UNSIGNALIZED INTERSECTIONS",Grades!G10,Grades!G54))</f>
        <v xml:space="preserve">Average Effective Turning Radius 
(m) </v>
      </c>
      <c r="D22" s="294" t="str">
        <f>IF($B$7="UNSIGNALIZED INTERSECTIONS",Grades!G14,IF($B$7="SIGNALIZED INTERSECTIONS",Grades!$G$36,Grades!$G$58))</f>
        <v xml:space="preserve">Transit Movement Delay (s) </v>
      </c>
      <c r="E22" s="294" t="str">
        <f>IF($B$7="UNSIGNALIZED INTERSECTIONS",Grades!G18,IF($B$7="SIGNALIZED INTERSECTIONS",Grades!$G$40,Grades!$G$62))</f>
        <v xml:space="preserve">Car Level of Service </v>
      </c>
      <c r="F22" s="294" t="str">
        <f>IF($B$7="UNSIGNALIZED INTERSECTIONS",Grades!G22,IF($B$7="SIGNALIZED INTERSECTIONS",Grades!$G$44,Grades!$G$66))</f>
        <v xml:space="preserve">Intersection Delay (s) </v>
      </c>
    </row>
    <row r="23" spans="1:6" ht="49.95" customHeight="1" x14ac:dyDescent="0.3">
      <c r="A23" s="421"/>
      <c r="B23" s="295" t="s">
        <v>196</v>
      </c>
      <c r="C23" s="295" t="s">
        <v>196</v>
      </c>
      <c r="D23" s="295" t="s">
        <v>38</v>
      </c>
      <c r="E23" s="295" t="s">
        <v>4</v>
      </c>
      <c r="F23" s="295" t="s">
        <v>38</v>
      </c>
    </row>
    <row r="24" spans="1:6" ht="49.95" customHeight="1" x14ac:dyDescent="0.3">
      <c r="A24" s="421" t="s">
        <v>230</v>
      </c>
      <c r="B24" s="294" t="str">
        <f>IF(B7="SIGNALIZED INTERSECTIONS",Grades!G29,IF(B7="UNSIGNALIZED INTERSECTIONS",Grades!G7,Grades!G51))</f>
        <v xml:space="preserve">Signal Cycle Length (s) </v>
      </c>
      <c r="C24" s="294" t="str">
        <f>IF(B7="SIGNALIZED INTERSECTIONS",Grades!G33,IF(B7="UNSIGNALIZED INTERSECTIONS",Grades!G11,Grades!G55))</f>
        <v xml:space="preserve">Signal Cycle Length (s) </v>
      </c>
      <c r="D24" s="294" t="str">
        <f>IF($B$7="UNSIGNALIZED INTERSECTIONS",Grades!G15,IF($B$7="SIGNALIZED INTERSECTIONS",Grades!$G$37,Grades!$G$59))</f>
        <v>Pedestrian Level of Service</v>
      </c>
      <c r="E24" s="294" t="str">
        <f>IF($B$7="UNSIGNALIZED INTERSECTIONS",Grades!G19,IF($B$7="SIGNALIZED INTERSECTIONS",Grades!$G$41,Grades!$G$63))</f>
        <v>-</v>
      </c>
      <c r="F24" s="294" t="str">
        <f>IF($B$7="UNSIGNALIZED INTERSECTIONS",Grades!G23,IF($B$7="SIGNALIZED INTERSECTIONS",Grades!$G$45,Grades!$G$67))</f>
        <v>-</v>
      </c>
    </row>
    <row r="25" spans="1:6" ht="49.95" customHeight="1" x14ac:dyDescent="0.3">
      <c r="A25" s="421"/>
      <c r="B25" s="295" t="s">
        <v>31</v>
      </c>
      <c r="C25" s="295" t="s">
        <v>34</v>
      </c>
      <c r="D25" s="295" t="s">
        <v>3</v>
      </c>
      <c r="E25" s="295"/>
      <c r="F25" s="295"/>
    </row>
    <row r="26" spans="1:6" ht="49.95" customHeight="1" x14ac:dyDescent="0.3">
      <c r="A26" s="421" t="s">
        <v>231</v>
      </c>
      <c r="B26" s="294" t="str">
        <f>IF(B7="SIGNALIZED INTERSECTIONS",Grades!G30,IF(B7="UNSIGNALIZED INTERSECTIONS","",""))</f>
        <v>Number of Uncontrolled 
Conflicts (conflicts/approach)</v>
      </c>
      <c r="C26" s="294" t="str">
        <f>IF(B7="SIGNALIZED INTERSECTIONS",Grades!G34,IF(B7="UNSIGNALIZED INTERSECTIONS",Grades!G12,Grades!G56))</f>
        <v>Number of Uncontrolled 
Conflicts (conflicts/approach)</v>
      </c>
      <c r="D26" s="294" t="str">
        <f>IF($B$7="UNSIGNALIZED INTERSECTIONS",Grades!G16,IF($B$7="SIGNALIZED INTERSECTIONS",Grades!$G$38,Grades!$G$60))</f>
        <v>-</v>
      </c>
      <c r="E26" s="294" t="str">
        <f>IF($B$7="UNSIGNALIZED INTERSECTIONS",Grades!G20,IF($B$7="SIGNALIZED INTERSECTIONS",Grades!$G$42,Grades!$G$64))</f>
        <v>-</v>
      </c>
      <c r="F26" s="294" t="str">
        <f>IF($B$7="UNSIGNALIZED INTERSECTIONS",Grades!G24,IF($B$7="SIGNALIZED INTERSECTIONS",Grades!$G$46,Grades!$G$68))</f>
        <v>-</v>
      </c>
    </row>
    <row r="27" spans="1:6" ht="49.95" customHeight="1" x14ac:dyDescent="0.3">
      <c r="A27" s="421"/>
      <c r="B27" s="295" t="s">
        <v>210</v>
      </c>
      <c r="C27" s="295" t="s">
        <v>211</v>
      </c>
      <c r="D27" s="295"/>
      <c r="E27" s="295"/>
      <c r="F27" s="295"/>
    </row>
  </sheetData>
  <mergeCells count="10">
    <mergeCell ref="A20:A21"/>
    <mergeCell ref="A22:A23"/>
    <mergeCell ref="A24:A25"/>
    <mergeCell ref="A26:A27"/>
    <mergeCell ref="B3:F3"/>
    <mergeCell ref="B4:F4"/>
    <mergeCell ref="A6:F6"/>
    <mergeCell ref="B7:F7"/>
    <mergeCell ref="A14:F14"/>
    <mergeCell ref="A19:F19"/>
  </mergeCells>
  <conditionalFormatting sqref="A5:F5 A4:B4 B1:F1 A8:A19">
    <cfRule type="cellIs" dxfId="90" priority="50" operator="equal">
      <formula>"F"</formula>
    </cfRule>
    <cfRule type="cellIs" dxfId="89" priority="51" operator="equal">
      <formula>"E"</formula>
    </cfRule>
    <cfRule type="cellIs" dxfId="88" priority="52" operator="equal">
      <formula>"D"</formula>
    </cfRule>
    <cfRule type="cellIs" dxfId="87" priority="53" operator="equal">
      <formula>"C"</formula>
    </cfRule>
    <cfRule type="cellIs" dxfId="86" priority="54" operator="equal">
      <formula>"B"</formula>
    </cfRule>
    <cfRule type="cellIs" dxfId="85" priority="55" operator="equal">
      <formula>"A"</formula>
    </cfRule>
  </conditionalFormatting>
  <conditionalFormatting sqref="A3">
    <cfRule type="cellIs" dxfId="84" priority="44" operator="equal">
      <formula>"F"</formula>
    </cfRule>
    <cfRule type="cellIs" dxfId="83" priority="45" operator="equal">
      <formula>"E"</formula>
    </cfRule>
    <cfRule type="cellIs" dxfId="82" priority="46" operator="equal">
      <formula>"D"</formula>
    </cfRule>
    <cfRule type="cellIs" dxfId="81" priority="47" operator="equal">
      <formula>"C"</formula>
    </cfRule>
    <cfRule type="cellIs" dxfId="80" priority="48" operator="equal">
      <formula>"B"</formula>
    </cfRule>
    <cfRule type="cellIs" dxfId="79" priority="49" operator="equal">
      <formula>"A"</formula>
    </cfRule>
  </conditionalFormatting>
  <conditionalFormatting sqref="B3">
    <cfRule type="cellIs" dxfId="78" priority="38" operator="equal">
      <formula>"F"</formula>
    </cfRule>
    <cfRule type="cellIs" dxfId="77" priority="39" operator="equal">
      <formula>"E"</formula>
    </cfRule>
    <cfRule type="cellIs" dxfId="76" priority="40" operator="equal">
      <formula>"D"</formula>
    </cfRule>
    <cfRule type="cellIs" dxfId="75" priority="41" operator="equal">
      <formula>"C"</formula>
    </cfRule>
    <cfRule type="cellIs" dxfId="74" priority="42" operator="equal">
      <formula>"B"</formula>
    </cfRule>
    <cfRule type="cellIs" dxfId="73" priority="43" operator="equal">
      <formula>"A"</formula>
    </cfRule>
  </conditionalFormatting>
  <conditionalFormatting sqref="A6:A7">
    <cfRule type="cellIs" dxfId="72" priority="32" operator="equal">
      <formula>"F"</formula>
    </cfRule>
    <cfRule type="cellIs" dxfId="71" priority="33" operator="equal">
      <formula>"E"</formula>
    </cfRule>
    <cfRule type="cellIs" dxfId="70" priority="34" operator="equal">
      <formula>"D"</formula>
    </cfRule>
    <cfRule type="cellIs" dxfId="69" priority="35" operator="equal">
      <formula>"C"</formula>
    </cfRule>
    <cfRule type="cellIs" dxfId="68" priority="36" operator="equal">
      <formula>"B"</formula>
    </cfRule>
    <cfRule type="cellIs" dxfId="67" priority="37" operator="equal">
      <formula>"A"</formula>
    </cfRule>
  </conditionalFormatting>
  <conditionalFormatting sqref="A1">
    <cfRule type="cellIs" dxfId="66" priority="26" operator="equal">
      <formula>"F"</formula>
    </cfRule>
    <cfRule type="cellIs" dxfId="65" priority="27" operator="equal">
      <formula>"E"</formula>
    </cfRule>
    <cfRule type="cellIs" dxfId="64" priority="28" operator="equal">
      <formula>"D"</formula>
    </cfRule>
    <cfRule type="cellIs" dxfId="63" priority="29" operator="equal">
      <formula>"C"</formula>
    </cfRule>
    <cfRule type="cellIs" dxfId="62" priority="30" operator="equal">
      <formula>"B"</formula>
    </cfRule>
    <cfRule type="cellIs" dxfId="61" priority="31" operator="equal">
      <formula>"A"</formula>
    </cfRule>
  </conditionalFormatting>
  <conditionalFormatting sqref="B10:F10 B12:F12">
    <cfRule type="expression" dxfId="60" priority="25">
      <formula>B9="None"</formula>
    </cfRule>
  </conditionalFormatting>
  <conditionalFormatting sqref="B20:B27">
    <cfRule type="expression" dxfId="59" priority="11">
      <formula>OR(AND(B$9&lt;&gt;"None",B$10=""),AND(B$11&lt;&gt;"None",B$12=""))</formula>
    </cfRule>
    <cfRule type="expression" dxfId="58" priority="24">
      <formula>OR(B$15="No",OR(B$16="No",OR(B$17="No",OR(B$18="No"))))</formula>
    </cfRule>
  </conditionalFormatting>
  <conditionalFormatting sqref="B13">
    <cfRule type="expression" dxfId="57" priority="23">
      <formula>OR(B$15="No",OR(B$16="No",OR(B$17="No",OR(B$18="No"))))</formula>
    </cfRule>
  </conditionalFormatting>
  <conditionalFormatting sqref="C13:F13">
    <cfRule type="expression" dxfId="56" priority="22">
      <formula>OR(C$15="No",OR(C$16="No",OR(C$17="No",OR(C$18="No"))))</formula>
    </cfRule>
  </conditionalFormatting>
  <conditionalFormatting sqref="A17:F17">
    <cfRule type="expression" dxfId="55" priority="21">
      <formula>$A$17="-"</formula>
    </cfRule>
  </conditionalFormatting>
  <conditionalFormatting sqref="A18:F18">
    <cfRule type="expression" dxfId="54" priority="20">
      <formula>$A$18="-"</formula>
    </cfRule>
  </conditionalFormatting>
  <conditionalFormatting sqref="A2">
    <cfRule type="cellIs" dxfId="53" priority="14" operator="equal">
      <formula>"F"</formula>
    </cfRule>
    <cfRule type="cellIs" dxfId="52" priority="15" operator="equal">
      <formula>"E"</formula>
    </cfRule>
    <cfRule type="cellIs" dxfId="51" priority="16" operator="equal">
      <formula>"D"</formula>
    </cfRule>
    <cfRule type="cellIs" dxfId="50" priority="17" operator="equal">
      <formula>"C"</formula>
    </cfRule>
    <cfRule type="cellIs" dxfId="49" priority="18" operator="equal">
      <formula>"B"</formula>
    </cfRule>
    <cfRule type="cellIs" dxfId="48" priority="19" operator="equal">
      <formula>"A"</formula>
    </cfRule>
  </conditionalFormatting>
  <conditionalFormatting sqref="B2:F2">
    <cfRule type="expression" dxfId="47" priority="13">
      <formula>OR(B$15="No",OR(B$16="No",OR(B$17="No",OR(B$18="No"))))</formula>
    </cfRule>
  </conditionalFormatting>
  <conditionalFormatting sqref="B15:F18">
    <cfRule type="expression" dxfId="46" priority="12">
      <formula>OR(AND(B$9&lt;&gt;"None",B$10=""),AND(B$11&lt;&gt;"None",B$12=""))</formula>
    </cfRule>
  </conditionalFormatting>
  <conditionalFormatting sqref="C20:F27">
    <cfRule type="expression" dxfId="45" priority="9">
      <formula>OR(AND(C$9&lt;&gt;"None",C$10=""),AND(C$11&lt;&gt;"None",C$12=""))</formula>
    </cfRule>
    <cfRule type="expression" dxfId="44" priority="10">
      <formula>OR(OR(C$15="No",C$15=""),OR(OR(C$16="No",C$16=""),OR(OR(C$17="No",C$17=""),OR(OR(C$18="No",C$18="")))))</formula>
    </cfRule>
  </conditionalFormatting>
  <conditionalFormatting sqref="A9:F13">
    <cfRule type="expression" dxfId="43" priority="8">
      <formula>$B$7=""</formula>
    </cfRule>
  </conditionalFormatting>
  <conditionalFormatting sqref="A15:F18">
    <cfRule type="expression" dxfId="42" priority="7">
      <formula>$B$7=""</formula>
    </cfRule>
  </conditionalFormatting>
  <conditionalFormatting sqref="A20:F27">
    <cfRule type="expression" dxfId="41" priority="6">
      <formula>$B$7=""</formula>
    </cfRule>
  </conditionalFormatting>
  <conditionalFormatting sqref="B20:B27">
    <cfRule type="expression" dxfId="40" priority="4">
      <formula>OR(AND(B$9&lt;&gt;"None",B$10=""),AND(B$11&lt;&gt;"None",B$12=""))</formula>
    </cfRule>
    <cfRule type="expression" dxfId="39" priority="5">
      <formula>OR(OR($B$15="No",$B$15=""),OR(OR($B$16="No",$B$16=""),OR(OR($B$17="No",$B$17=""),OR(OR($B$18="No",$B$18="")))))</formula>
    </cfRule>
  </conditionalFormatting>
  <conditionalFormatting sqref="C20:F27">
    <cfRule type="expression" dxfId="38" priority="3">
      <formula>OR(AND(C$9&lt;&gt;"None",C$10=""),AND(C$11&lt;&gt;"None",C$12=""))</formula>
    </cfRule>
  </conditionalFormatting>
  <conditionalFormatting sqref="C20:F27">
    <cfRule type="expression" dxfId="37" priority="1">
      <formula>OR(AND(C$9&lt;&gt;"None",C$10=""),AND(C$11&lt;&gt;"None",C$12=""))</formula>
    </cfRule>
    <cfRule type="expression" dxfId="36" priority="2">
      <formula>OR(OR($B$15="No",$B$15=""),OR(OR($B$16="No",$B$16=""),OR(OR($B$17="No",$B$17=""),OR(OR($B$18="No",$B$18="")))))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6">
        <x14:dataValidation type="list" allowBlank="1" showInputMessage="1" showErrorMessage="1">
          <x14:formula1>
            <xm:f>IF($A$18="-",'AT Check'!$E$3:$E$7,'AT Check'!$C$3:$D$3)</xm:f>
          </x14:formula1>
          <xm:sqref>B18:F18</xm:sqref>
        </x14:dataValidation>
        <x14:dataValidation type="list" allowBlank="1" showInputMessage="1" showErrorMessage="1">
          <x14:formula1>
            <xm:f>IF($A$17="-",'AT Check'!$E$3:$E$7,'AT Check'!$C$3:$D$3)</xm:f>
          </x14:formula1>
          <xm:sqref>B17:F17</xm:sqref>
        </x14:dataValidation>
        <x14:dataValidation type="list" allowBlank="1" showInputMessage="1" showErrorMessage="1">
          <x14:formula1>
            <xm:f>IF($B$7="UNSIGNALIZED INTERSECTIONS","",IF($B$7="SIGNALIZED INTERSECTIONS",Grades!$J$34:$O$34,""))</xm:f>
          </x14:formula1>
          <xm:sqref>C27</xm:sqref>
        </x14:dataValidation>
        <x14:dataValidation type="list" allowBlank="1" showInputMessage="1" showErrorMessage="1">
          <x14:formula1>
            <xm:f>Targets!$L$6:$L$8</xm:f>
          </x14:formula1>
          <xm:sqref>B9:F9 B11:F11</xm:sqref>
        </x14:dataValidation>
        <x14:dataValidation type="list" allowBlank="1" showInputMessage="1" showErrorMessage="1">
          <x14:formula1>
            <xm:f>IF($B$7="UNSIGNALIZED INTERSECTIONS",Grades!$I$7:$O$7,IF($B$7="SIGNALIZED INTERSECTIONS",Grades!$I$29:$O$29,Grades!$I$51:$O$51))</xm:f>
          </x14:formula1>
          <xm:sqref>B25</xm:sqref>
        </x14:dataValidation>
        <x14:dataValidation type="list" allowBlank="1" showInputMessage="1" showErrorMessage="1">
          <x14:formula1>
            <xm:f>IF($B$7="UNSIGNALIZED INTERSECTIONS",Grades!$I$24:$O$24,IF($B$7="SIGNALIZED INTERSECTIONS",Grades!$I$46:$O$46,Grades!$I$68:$O$68))</xm:f>
          </x14:formula1>
          <xm:sqref>F27</xm:sqref>
        </x14:dataValidation>
        <x14:dataValidation type="list" allowBlank="1" showInputMessage="1" showErrorMessage="1">
          <x14:formula1>
            <xm:f>IF($B$7="UNSIGNALIZED INTERSECTIONS",Grades!$I$23:$O$23,IF($B$7="SIGNALIZED INTERSECTIONS",Grades!$I$45:$O$45,Grades!$I$67:$O$67))</xm:f>
          </x14:formula1>
          <xm:sqref>F25</xm:sqref>
        </x14:dataValidation>
        <x14:dataValidation type="list" allowBlank="1" showInputMessage="1" showErrorMessage="1">
          <x14:formula1>
            <xm:f>IF($B$7="UNSIGNALIZED INTERSECTIONS",Grades!$I$22:$O$22,IF($B$7="SIGNALIZED INTERSECTIONS",Grades!$I$44:$O$44,Grades!$I$66:$O$66))</xm:f>
          </x14:formula1>
          <xm:sqref>F23</xm:sqref>
        </x14:dataValidation>
        <x14:dataValidation type="list" allowBlank="1" showInputMessage="1" showErrorMessage="1">
          <x14:formula1>
            <xm:f>IF($B$7="UNSIGNALIZED INTERSECTIONS",Grades!$I$21:$O$21,IF($B$7="SIGNALIZED INTERSECTIONS",Grades!$I$43:$O$43,Grades!$I$65:$O$65))</xm:f>
          </x14:formula1>
          <xm:sqref>F21</xm:sqref>
        </x14:dataValidation>
        <x14:dataValidation type="list" allowBlank="1" showInputMessage="1" showErrorMessage="1">
          <x14:formula1>
            <xm:f>IF($B$7="UNSIGNALIZED INTERSECTIONS",Grades!$I$20:$O$20,IF($B$7="SIGNALIZED INTERSECTIONS",Grades!$I$42:$O$42,Grades!$I$64:$O$64))</xm:f>
          </x14:formula1>
          <xm:sqref>E27</xm:sqref>
        </x14:dataValidation>
        <x14:dataValidation type="list" allowBlank="1" showInputMessage="1" showErrorMessage="1">
          <x14:formula1>
            <xm:f>IF($B$7="UNSIGNALIZED INTERSECTIONS",Grades!$I$19:$O$19,IF($B$7="SIGNALIZED INTERSECTIONS",Grades!$I$41:$O$41,Grades!$I$63:$O$63))</xm:f>
          </x14:formula1>
          <xm:sqref>E25</xm:sqref>
        </x14:dataValidation>
        <x14:dataValidation type="list" allowBlank="1" showInputMessage="1" showErrorMessage="1">
          <x14:formula1>
            <xm:f>IF($B$7="UNSIGNALIZED INTERSECTIONS",Grades!$I$18:$O$18,IF($B$7="SIGNALIZED INTERSECTIONS",Grades!$I$40:$O$40,Grades!$I$62:$O$62))</xm:f>
          </x14:formula1>
          <xm:sqref>E23</xm:sqref>
        </x14:dataValidation>
        <x14:dataValidation type="list" allowBlank="1" showInputMessage="1" showErrorMessage="1">
          <x14:formula1>
            <xm:f>IF($B$7="UNSIGNALIZED INTERSECTIONS",Grades!$I$17:$O$17,IF($B$7="SIGNALIZED INTERSECTIONS",Grades!$I$39:$O$39,Grades!$I$61:$O$61))</xm:f>
          </x14:formula1>
          <xm:sqref>E21</xm:sqref>
        </x14:dataValidation>
        <x14:dataValidation type="list" allowBlank="1" showInputMessage="1" showErrorMessage="1">
          <x14:formula1>
            <xm:f>IF($B$7="UNSIGNALIZED INTERSECTIONS",Grades!$I$16:$O$16,IF($B$7="SIGNALIZED INTERSECTIONS",Grades!$I$38:$O$38,Grades!$I$60:$O$60))</xm:f>
          </x14:formula1>
          <xm:sqref>D27</xm:sqref>
        </x14:dataValidation>
        <x14:dataValidation type="list" allowBlank="1" showInputMessage="1" showErrorMessage="1">
          <x14:formula1>
            <xm:f>IF($B$7="UNSIGNALIZED INTERSECTIONS",Grades!$I$15:$O$15,IF($B$7="SIGNALIZED INTERSECTIONS",Grades!$I$37:$O$37,Grades!$I$59:$O$59))</xm:f>
          </x14:formula1>
          <xm:sqref>D25</xm:sqref>
        </x14:dataValidation>
        <x14:dataValidation type="list" allowBlank="1" showInputMessage="1" showErrorMessage="1">
          <x14:formula1>
            <xm:f>IF($B$7="UNSIGNALIZED INTERSECTIONS",Grades!$I$14:$O$14,IF($B$7="SIGNALIZED INTERSECTIONS",Grades!$I$36:$O$36,Grades!$I$58:$O$58))</xm:f>
          </x14:formula1>
          <xm:sqref>D23</xm:sqref>
        </x14:dataValidation>
        <x14:dataValidation type="list" allowBlank="1" showInputMessage="1" showErrorMessage="1">
          <x14:formula1>
            <xm:f>IF($B$7="UNSIGNALIZED INTERSECTIONS",Grades!$I$13:$O$13,IF($B$7="SIGNALIZED INTERSECTIONS",Grades!$I$35:$O$35,Grades!$I$57:$O$57))</xm:f>
          </x14:formula1>
          <xm:sqref>D21</xm:sqref>
        </x14:dataValidation>
        <x14:dataValidation type="list" allowBlank="1" showInputMessage="1" showErrorMessage="1">
          <x14:formula1>
            <xm:f>IF($B$7="UNSIGNALIZED INTERSECTIONS",Grades!$I$6:$O$6,IF($B$7="SIGNALIZED INTERSECTIONS",Grades!$I$28:$O$28,Grades!$I$50:$O$50))</xm:f>
          </x14:formula1>
          <xm:sqref>B23</xm:sqref>
        </x14:dataValidation>
        <x14:dataValidation type="list" allowBlank="1" showInputMessage="1" showErrorMessage="1">
          <x14:formula1>
            <xm:f>IF($B$7="UNSIGNALIZED INTERSECTIONS",Grades!$I$5:$O$5,IF($B$7="SIGNALIZED INTERSECTIONS",Grades!$I$27:$O$27,Grades!$I$49:$O$49))</xm:f>
          </x14:formula1>
          <xm:sqref>B21</xm:sqref>
        </x14:dataValidation>
        <x14:dataValidation type="list" allowBlank="1" showInputMessage="1" showErrorMessage="1">
          <x14:formula1>
            <xm:f>IF($B$7="UNSIGNALIZED INTERSECTIONS",Grades!$J$11:$O$11,IF($B$7="SIGNALIZED INTERSECTIONS",Grades!$J$33:$O$33,Grades!$J$55:$O$55))</xm:f>
          </x14:formula1>
          <xm:sqref>C25</xm:sqref>
        </x14:dataValidation>
        <x14:dataValidation type="list" allowBlank="1" showInputMessage="1" showErrorMessage="1">
          <x14:formula1>
            <xm:f>IF($B$7="UNSIGNALIZED INTERSECTIONS",Grades!$J$9:$O$9,IF($B$7="SIGNALIZED INTERSECTIONS",Grades!$J$31:$O$31,Grades!$J$53:$O$53))</xm:f>
          </x14:formula1>
          <xm:sqref>C21</xm:sqref>
        </x14:dataValidation>
        <x14:dataValidation type="list" allowBlank="1" showInputMessage="1" showErrorMessage="1">
          <x14:formula1>
            <xm:f>IF($B$7="UNSIGNALIZED INTERSECTIONS",Grades!$J$10:$O$10,IF($B$7="SIGNALIZED INTERSECTIONS",Grades!$J$32:$O$32,Grades!$J$54:$O$54))</xm:f>
          </x14:formula1>
          <xm:sqref>C23</xm:sqref>
        </x14:dataValidation>
        <x14:dataValidation type="list" allowBlank="1" showInputMessage="1" showErrorMessage="1">
          <x14:formula1>
            <xm:f>IF($B$7="UNSIGNALIZED INTERSECTIONS","",IF($B$7="SIGNALIZED INTERSECTIONS",Grades!$J$30:$O$30,""))</xm:f>
          </x14:formula1>
          <xm:sqref>B27</xm:sqref>
        </x14:dataValidation>
        <x14:dataValidation type="list" allowBlank="1" showInputMessage="1" showErrorMessage="1">
          <x14:formula1>
            <xm:f>Targets!$D$7:$D$15</xm:f>
          </x14:formula1>
          <xm:sqref>B4:F4</xm:sqref>
        </x14:dataValidation>
        <x14:dataValidation type="list" allowBlank="1" showInputMessage="1" showErrorMessage="1">
          <x14:formula1>
            <xm:f>'AT Check'!$C$3:$D$3</xm:f>
          </x14:formula1>
          <xm:sqref>B15:F16</xm:sqref>
        </x14:dataValidation>
        <x14:dataValidation type="list" allowBlank="1" showInputMessage="1" showErrorMessage="1">
          <x14:formula1>
            <xm:f>Grades!$R$9:$R$11</xm:f>
          </x14:formula1>
          <xm:sqref>B7:F7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H69"/>
  <sheetViews>
    <sheetView topLeftCell="D1" zoomScale="85" zoomScaleNormal="85" workbookViewId="0">
      <selection activeCell="Q55" sqref="Q55"/>
    </sheetView>
  </sheetViews>
  <sheetFormatPr defaultColWidth="9.21875" defaultRowHeight="14.4" x14ac:dyDescent="0.3"/>
  <cols>
    <col min="1" max="1" width="24" style="12" hidden="1" customWidth="1"/>
    <col min="2" max="2" width="10.5546875" style="12" hidden="1" customWidth="1"/>
    <col min="3" max="3" width="24" style="12" hidden="1" customWidth="1"/>
    <col min="4" max="4" width="3.21875" style="12" customWidth="1"/>
    <col min="5" max="5" width="7" style="12" customWidth="1"/>
    <col min="6" max="6" width="14.21875" style="12" customWidth="1"/>
    <col min="7" max="7" width="27.88671875" style="12" bestFit="1" customWidth="1"/>
    <col min="8" max="8" width="12.21875" style="33" customWidth="1"/>
    <col min="9" max="9" width="23.77734375" style="12" customWidth="1"/>
    <col min="10" max="12" width="15.44140625" style="12" customWidth="1"/>
    <col min="13" max="13" width="16.44140625" style="12" customWidth="1"/>
    <col min="14" max="15" width="15.44140625" style="12" customWidth="1"/>
    <col min="16" max="17" width="9.21875" style="12"/>
    <col min="18" max="18" width="26.88671875" style="12" bestFit="1" customWidth="1"/>
    <col min="19" max="16384" width="9.21875" style="12"/>
  </cols>
  <sheetData>
    <row r="1" spans="1:34" s="15" customFormat="1" ht="6.75" customHeight="1" x14ac:dyDescent="0.45">
      <c r="E1" s="16"/>
      <c r="H1" s="32"/>
    </row>
    <row r="2" spans="1:34" s="227" customFormat="1" ht="52.5" customHeight="1" x14ac:dyDescent="0.3">
      <c r="A2" s="226"/>
      <c r="B2" s="178"/>
      <c r="D2" s="178"/>
      <c r="E2" s="178" t="s">
        <v>166</v>
      </c>
    </row>
    <row r="3" spans="1:34" ht="17.25" customHeight="1" x14ac:dyDescent="0.3"/>
    <row r="4" spans="1:34" s="13" customFormat="1" ht="25.5" customHeight="1" thickBot="1" x14ac:dyDescent="0.35">
      <c r="E4" s="442" t="s">
        <v>180</v>
      </c>
      <c r="F4" s="339" t="s">
        <v>0</v>
      </c>
      <c r="G4" s="339" t="s">
        <v>12</v>
      </c>
      <c r="H4" s="340" t="s">
        <v>49</v>
      </c>
      <c r="I4" s="341"/>
      <c r="J4" s="3" t="s">
        <v>1</v>
      </c>
      <c r="K4" s="4" t="s">
        <v>2</v>
      </c>
      <c r="L4" s="4" t="s">
        <v>3</v>
      </c>
      <c r="M4" s="4" t="s">
        <v>4</v>
      </c>
      <c r="N4" s="4" t="s">
        <v>5</v>
      </c>
      <c r="O4" s="5" t="s">
        <v>6</v>
      </c>
      <c r="T4" s="354"/>
      <c r="U4" s="355" t="s">
        <v>177</v>
      </c>
      <c r="V4" s="355" t="s">
        <v>178</v>
      </c>
      <c r="W4" s="355" t="s">
        <v>179</v>
      </c>
      <c r="X4" s="355"/>
    </row>
    <row r="5" spans="1:34" ht="27" customHeight="1" thickTop="1" x14ac:dyDescent="0.3">
      <c r="A5" s="12" t="e">
        <f>F5&amp;"."&amp;#REF!</f>
        <v>#REF!</v>
      </c>
      <c r="B5" s="31" t="str">
        <f>F5</f>
        <v>Pedestrians</v>
      </c>
      <c r="C5" s="31" t="str">
        <f>IF(ROUND(SUMIF(B5:B22,B5,H5:H22),3)&lt;&gt;1,"Error","")</f>
        <v>Error</v>
      </c>
      <c r="E5" s="442"/>
      <c r="F5" s="435" t="s">
        <v>174</v>
      </c>
      <c r="G5" s="342" t="s">
        <v>195</v>
      </c>
      <c r="H5" s="343">
        <v>0.33300000000000002</v>
      </c>
      <c r="I5" s="344"/>
      <c r="J5" s="265" t="s">
        <v>253</v>
      </c>
      <c r="K5" s="1" t="s">
        <v>310</v>
      </c>
      <c r="L5" s="1"/>
      <c r="M5" s="1" t="s">
        <v>311</v>
      </c>
      <c r="N5" s="1"/>
      <c r="O5" s="266" t="s">
        <v>287</v>
      </c>
    </row>
    <row r="6" spans="1:34" ht="43.8" customHeight="1" x14ac:dyDescent="0.3">
      <c r="A6" s="12" t="e">
        <f>F5&amp;"."&amp;#REF!</f>
        <v>#REF!</v>
      </c>
      <c r="B6" s="31" t="str">
        <f>B5</f>
        <v>Pedestrians</v>
      </c>
      <c r="C6" s="31" t="str">
        <f>IF(ROUND(SUMIF(B5:B22,B6,H5:H22),3)&lt;&gt;1,"Error","")</f>
        <v>Error</v>
      </c>
      <c r="E6" s="442"/>
      <c r="F6" s="436"/>
      <c r="G6" s="348" t="s">
        <v>368</v>
      </c>
      <c r="H6" s="349">
        <v>0.33300000000000002</v>
      </c>
      <c r="I6" s="350"/>
      <c r="J6" s="267" t="s">
        <v>197</v>
      </c>
      <c r="K6" s="268"/>
      <c r="L6" s="268"/>
      <c r="M6" s="268"/>
      <c r="N6" s="268" t="s">
        <v>286</v>
      </c>
      <c r="O6" s="268" t="s">
        <v>257</v>
      </c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</row>
    <row r="7" spans="1:34" ht="27" customHeight="1" x14ac:dyDescent="0.3">
      <c r="A7" s="12" t="e">
        <f>F5&amp;"."&amp;#REF!</f>
        <v>#REF!</v>
      </c>
      <c r="B7" s="31" t="str">
        <f>B6</f>
        <v>Pedestrians</v>
      </c>
      <c r="C7" s="31" t="str">
        <f>IF(ROUND(SUMIF(B5:B22,B7,H5:H22),3)&lt;&gt;1,"Error","")</f>
        <v>Error</v>
      </c>
      <c r="E7" s="442"/>
      <c r="F7" s="436"/>
      <c r="G7" s="378" t="s">
        <v>284</v>
      </c>
      <c r="H7" s="352">
        <v>0.33300000000000002</v>
      </c>
      <c r="I7" s="353"/>
      <c r="J7" s="48" t="s">
        <v>252</v>
      </c>
      <c r="K7" s="281" t="s">
        <v>306</v>
      </c>
      <c r="L7" s="281" t="s">
        <v>305</v>
      </c>
      <c r="M7" s="238" t="s">
        <v>304</v>
      </c>
      <c r="N7" s="238" t="s">
        <v>308</v>
      </c>
      <c r="O7" s="49" t="s">
        <v>289</v>
      </c>
      <c r="Q7" s="356"/>
      <c r="R7" s="356"/>
      <c r="S7" s="425" t="s">
        <v>182</v>
      </c>
      <c r="T7" s="425"/>
      <c r="U7" s="425"/>
      <c r="V7" s="425" t="s">
        <v>3</v>
      </c>
      <c r="W7" s="425"/>
      <c r="X7" s="425"/>
      <c r="Y7" s="425" t="s">
        <v>183</v>
      </c>
      <c r="Z7" s="425"/>
      <c r="AA7" s="425"/>
      <c r="AB7" s="425" t="s">
        <v>184</v>
      </c>
      <c r="AC7" s="425"/>
      <c r="AD7" s="425"/>
      <c r="AE7" s="425" t="s">
        <v>3</v>
      </c>
      <c r="AF7" s="425"/>
      <c r="AG7" s="425"/>
      <c r="AH7" s="356"/>
    </row>
    <row r="8" spans="1:34" ht="27" customHeight="1" thickBot="1" x14ac:dyDescent="0.35">
      <c r="B8" s="31"/>
      <c r="C8" s="31"/>
      <c r="E8" s="442"/>
      <c r="F8" s="436"/>
      <c r="G8" s="345" t="s">
        <v>232</v>
      </c>
      <c r="H8" s="386"/>
      <c r="I8" s="387"/>
      <c r="J8" s="336"/>
      <c r="K8" s="337"/>
      <c r="L8" s="337"/>
      <c r="M8" s="337"/>
      <c r="N8" s="337"/>
      <c r="O8" s="338"/>
      <c r="Q8" s="356"/>
      <c r="R8" s="356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6"/>
    </row>
    <row r="9" spans="1:34" ht="27" customHeight="1" thickTop="1" x14ac:dyDescent="0.3">
      <c r="A9" s="12" t="e">
        <f>F9&amp;"."&amp;#REF!</f>
        <v>#REF!</v>
      </c>
      <c r="B9" s="31" t="e">
        <f>IF(B18="","",INDEX(Grades!$J$4:$O$4,MATCH(B18,Grades!J5:O5,0)))</f>
        <v>#N/A</v>
      </c>
      <c r="C9" s="31" t="str">
        <f>IF(ROUND(SUMIF(B5:B22,B9,H5:H22),3)&lt;&gt;1,"Error","")</f>
        <v>Error</v>
      </c>
      <c r="E9" s="442"/>
      <c r="F9" s="432" t="s">
        <v>198</v>
      </c>
      <c r="G9" s="342" t="s">
        <v>313</v>
      </c>
      <c r="H9" s="343">
        <v>0.33300000000000002</v>
      </c>
      <c r="I9" s="344"/>
      <c r="J9" s="265" t="s">
        <v>314</v>
      </c>
      <c r="K9" s="1" t="s">
        <v>315</v>
      </c>
      <c r="L9" s="1"/>
      <c r="M9" s="1" t="s">
        <v>316</v>
      </c>
      <c r="N9" s="1"/>
      <c r="O9" s="266" t="s">
        <v>317</v>
      </c>
      <c r="Q9" s="356"/>
      <c r="R9" s="356" t="s">
        <v>180</v>
      </c>
      <c r="S9" s="356">
        <v>2</v>
      </c>
      <c r="T9" s="356">
        <v>3</v>
      </c>
      <c r="U9" s="356">
        <v>4</v>
      </c>
      <c r="V9" s="356">
        <v>5</v>
      </c>
      <c r="W9" s="356">
        <v>6</v>
      </c>
      <c r="X9" s="356">
        <v>7</v>
      </c>
      <c r="Y9" s="356">
        <v>8</v>
      </c>
      <c r="Z9" s="356">
        <v>9</v>
      </c>
      <c r="AA9" s="356">
        <v>10</v>
      </c>
      <c r="AB9" s="356">
        <v>11</v>
      </c>
      <c r="AC9" s="356">
        <v>12</v>
      </c>
      <c r="AD9" s="356">
        <v>13</v>
      </c>
      <c r="AE9" s="356">
        <v>14</v>
      </c>
      <c r="AF9" s="356">
        <v>15</v>
      </c>
      <c r="AG9" s="356">
        <v>16</v>
      </c>
      <c r="AH9" s="356"/>
    </row>
    <row r="10" spans="1:34" ht="27" customHeight="1" x14ac:dyDescent="0.3">
      <c r="A10" s="12" t="e">
        <f>F9&amp;"."&amp;#REF!</f>
        <v>#REF!</v>
      </c>
      <c r="B10" s="31" t="e">
        <f>B9</f>
        <v>#N/A</v>
      </c>
      <c r="C10" s="31" t="str">
        <f>IF(ROUND(SUMIF(B5:B22,B10,H5:H22),3)&lt;&gt;1,"Error","")</f>
        <v>Error</v>
      </c>
      <c r="E10" s="442"/>
      <c r="F10" s="433"/>
      <c r="G10" s="348" t="s">
        <v>201</v>
      </c>
      <c r="H10" s="349">
        <v>0.33300000000000002</v>
      </c>
      <c r="I10" s="350"/>
      <c r="J10" s="267" t="s">
        <v>318</v>
      </c>
      <c r="K10" s="268" t="s">
        <v>319</v>
      </c>
      <c r="L10" s="268" t="s">
        <v>320</v>
      </c>
      <c r="M10" s="268" t="s">
        <v>321</v>
      </c>
      <c r="N10" s="268" t="s">
        <v>322</v>
      </c>
      <c r="O10" s="268" t="s">
        <v>323</v>
      </c>
      <c r="Q10" s="356"/>
      <c r="R10" s="356" t="s">
        <v>181</v>
      </c>
      <c r="S10" s="356">
        <v>2</v>
      </c>
      <c r="T10" s="356">
        <v>3</v>
      </c>
      <c r="U10" s="356">
        <v>4</v>
      </c>
      <c r="V10" s="356">
        <v>5</v>
      </c>
      <c r="W10" s="356">
        <v>6</v>
      </c>
      <c r="X10" s="356">
        <v>7</v>
      </c>
      <c r="Y10" s="356">
        <v>8</v>
      </c>
      <c r="Z10" s="356">
        <v>9</v>
      </c>
      <c r="AA10" s="356">
        <v>10</v>
      </c>
      <c r="AB10" s="356">
        <v>11</v>
      </c>
      <c r="AC10" s="356">
        <v>12</v>
      </c>
      <c r="AD10" s="356">
        <v>13</v>
      </c>
      <c r="AE10" s="356">
        <v>14</v>
      </c>
      <c r="AF10" s="356">
        <v>15</v>
      </c>
      <c r="AG10" s="356">
        <v>16</v>
      </c>
      <c r="AH10" s="356"/>
    </row>
    <row r="11" spans="1:34" ht="27" customHeight="1" x14ac:dyDescent="0.3">
      <c r="A11" s="12" t="e">
        <f>F9&amp;"."&amp;#REF!</f>
        <v>#REF!</v>
      </c>
      <c r="B11" s="31" t="e">
        <f>B10</f>
        <v>#N/A</v>
      </c>
      <c r="C11" s="31" t="str">
        <f>IF(ROUND(SUMIF(B5:B22,B11,H5:H22),3)&lt;&gt;1,"Error","")</f>
        <v>Error</v>
      </c>
      <c r="E11" s="442"/>
      <c r="F11" s="433"/>
      <c r="G11" s="384" t="s">
        <v>284</v>
      </c>
      <c r="H11" s="379">
        <v>0.33300000000000002</v>
      </c>
      <c r="I11" s="380"/>
      <c r="J11" s="371" t="s">
        <v>252</v>
      </c>
      <c r="K11" s="372" t="s">
        <v>306</v>
      </c>
      <c r="L11" s="372" t="s">
        <v>305</v>
      </c>
      <c r="M11" s="373" t="s">
        <v>304</v>
      </c>
      <c r="N11" s="373" t="s">
        <v>308</v>
      </c>
      <c r="O11" s="374" t="s">
        <v>289</v>
      </c>
      <c r="Q11" s="356"/>
      <c r="R11" s="356" t="s">
        <v>9</v>
      </c>
      <c r="S11" s="356">
        <v>2</v>
      </c>
      <c r="T11" s="356">
        <v>3</v>
      </c>
      <c r="U11" s="356">
        <v>4</v>
      </c>
      <c r="V11" s="356">
        <v>5</v>
      </c>
      <c r="W11" s="356">
        <v>6</v>
      </c>
      <c r="X11" s="356">
        <v>7</v>
      </c>
      <c r="Y11" s="356">
        <v>8</v>
      </c>
      <c r="Z11" s="356">
        <v>9</v>
      </c>
      <c r="AA11" s="356">
        <v>10</v>
      </c>
      <c r="AB11" s="356">
        <v>11</v>
      </c>
      <c r="AC11" s="356">
        <v>12</v>
      </c>
      <c r="AD11" s="356">
        <v>13</v>
      </c>
      <c r="AE11" s="356">
        <v>14</v>
      </c>
      <c r="AF11" s="356">
        <v>15</v>
      </c>
      <c r="AG11" s="356">
        <v>16</v>
      </c>
      <c r="AH11" s="356"/>
    </row>
    <row r="12" spans="1:34" ht="27" customHeight="1" thickBot="1" x14ac:dyDescent="0.35">
      <c r="B12" s="31"/>
      <c r="C12" s="31"/>
      <c r="E12" s="442"/>
      <c r="F12" s="434"/>
      <c r="G12" s="345" t="s">
        <v>232</v>
      </c>
      <c r="H12" s="346"/>
      <c r="I12" s="347"/>
      <c r="J12" s="336"/>
      <c r="K12" s="337"/>
      <c r="L12" s="337"/>
      <c r="M12" s="337"/>
      <c r="N12" s="337"/>
      <c r="O12" s="338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</row>
    <row r="13" spans="1:34" ht="27" customHeight="1" thickTop="1" x14ac:dyDescent="0.3">
      <c r="A13" s="12" t="e">
        <f>F13&amp;"."&amp;#REF!</f>
        <v>#REF!</v>
      </c>
      <c r="B13" s="31" t="str">
        <f>F13</f>
        <v>Buses</v>
      </c>
      <c r="C13" s="31" t="str">
        <f>IF(ROUND(SUMIF(B5:B22,B13,H5:H22),3)&lt;&gt;1,"Error","")</f>
        <v>Error</v>
      </c>
      <c r="E13" s="442"/>
      <c r="F13" s="432" t="s">
        <v>202</v>
      </c>
      <c r="G13" s="342" t="s">
        <v>203</v>
      </c>
      <c r="H13" s="343">
        <v>0.5</v>
      </c>
      <c r="I13" s="344"/>
      <c r="J13" s="265" t="s">
        <v>35</v>
      </c>
      <c r="K13" s="1" t="s">
        <v>46</v>
      </c>
      <c r="L13" s="1" t="s">
        <v>38</v>
      </c>
      <c r="M13" s="1" t="s">
        <v>41</v>
      </c>
      <c r="N13" s="1" t="s">
        <v>44</v>
      </c>
      <c r="O13" s="266" t="s">
        <v>288</v>
      </c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</row>
    <row r="14" spans="1:34" ht="27" customHeight="1" x14ac:dyDescent="0.3">
      <c r="A14" s="12" t="e">
        <f>F13&amp;"."&amp;#REF!</f>
        <v>#REF!</v>
      </c>
      <c r="B14" s="31" t="str">
        <f>B13</f>
        <v>Buses</v>
      </c>
      <c r="C14" s="31" t="str">
        <f>IF(ROUND(SUMIF(B5:B22,B14,H5:H22),3)&lt;&gt;1,"Error","")</f>
        <v>Error</v>
      </c>
      <c r="E14" s="442"/>
      <c r="F14" s="433"/>
      <c r="G14" s="348" t="s">
        <v>204</v>
      </c>
      <c r="H14" s="349">
        <v>0.5</v>
      </c>
      <c r="I14" s="350"/>
      <c r="J14" s="267" t="s">
        <v>1</v>
      </c>
      <c r="K14" s="268" t="s">
        <v>2</v>
      </c>
      <c r="L14" s="268" t="s">
        <v>3</v>
      </c>
      <c r="M14" s="268" t="s">
        <v>4</v>
      </c>
      <c r="N14" s="268" t="s">
        <v>5</v>
      </c>
      <c r="O14" s="268" t="s">
        <v>6</v>
      </c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</row>
    <row r="15" spans="1:34" ht="27" customHeight="1" x14ac:dyDescent="0.3">
      <c r="B15" s="31"/>
      <c r="C15" s="31"/>
      <c r="E15" s="442"/>
      <c r="F15" s="433"/>
      <c r="G15" s="384" t="s">
        <v>232</v>
      </c>
      <c r="H15" s="379"/>
      <c r="I15" s="380"/>
      <c r="J15" s="371"/>
      <c r="K15" s="372"/>
      <c r="L15" s="372"/>
      <c r="M15" s="373"/>
      <c r="N15" s="373"/>
      <c r="O15" s="372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</row>
    <row r="16" spans="1:34" ht="27" customHeight="1" thickBot="1" x14ac:dyDescent="0.35">
      <c r="B16" s="31"/>
      <c r="C16" s="31"/>
      <c r="E16" s="442"/>
      <c r="F16" s="434"/>
      <c r="G16" s="345" t="s">
        <v>232</v>
      </c>
      <c r="H16" s="346"/>
      <c r="I16" s="347"/>
      <c r="J16" s="336"/>
      <c r="K16" s="337"/>
      <c r="L16" s="337"/>
      <c r="M16" s="337"/>
      <c r="N16" s="337"/>
      <c r="O16" s="338"/>
      <c r="Q16" s="356"/>
      <c r="R16" s="356" t="s">
        <v>1</v>
      </c>
      <c r="S16" s="356">
        <v>6</v>
      </c>
      <c r="T16" s="356" t="s">
        <v>1</v>
      </c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</row>
    <row r="17" spans="1:34" ht="27" customHeight="1" thickTop="1" x14ac:dyDescent="0.3">
      <c r="A17" s="12" t="e">
        <f>F13&amp;"."&amp;#REF!</f>
        <v>#REF!</v>
      </c>
      <c r="B17" s="31" t="str">
        <f>B14</f>
        <v>Buses</v>
      </c>
      <c r="C17" s="31" t="str">
        <f>IF(ROUND(SUMIF(B5:B22,B17,H5:H22),3)&lt;&gt;1,"Error","")</f>
        <v>Error</v>
      </c>
      <c r="E17" s="442"/>
      <c r="F17" s="435" t="s">
        <v>189</v>
      </c>
      <c r="G17" s="342" t="s">
        <v>284</v>
      </c>
      <c r="H17" s="343">
        <v>0.5</v>
      </c>
      <c r="I17" s="344"/>
      <c r="J17" s="265" t="s">
        <v>291</v>
      </c>
      <c r="K17" s="271" t="s">
        <v>309</v>
      </c>
      <c r="L17" s="271" t="s">
        <v>39</v>
      </c>
      <c r="M17" s="1" t="s">
        <v>42</v>
      </c>
      <c r="N17" s="1" t="s">
        <v>45</v>
      </c>
      <c r="O17" s="266" t="s">
        <v>258</v>
      </c>
      <c r="Q17" s="356"/>
      <c r="R17" s="356" t="s">
        <v>1</v>
      </c>
      <c r="S17" s="356">
        <v>6</v>
      </c>
      <c r="T17" s="356" t="s">
        <v>1</v>
      </c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</row>
    <row r="18" spans="1:34" ht="27" customHeight="1" x14ac:dyDescent="0.3">
      <c r="A18" s="12" t="e">
        <f>F18&amp;"."&amp;#REF!</f>
        <v>#REF!</v>
      </c>
      <c r="B18" s="31">
        <f>F18</f>
        <v>0</v>
      </c>
      <c r="C18" s="31" t="str">
        <f>IF(ROUND(SUMIF(B5:B22,B18,H5:H22),3)&lt;&gt;1,"Error","")</f>
        <v/>
      </c>
      <c r="E18" s="442"/>
      <c r="F18" s="436"/>
      <c r="G18" s="348" t="s">
        <v>205</v>
      </c>
      <c r="H18" s="349">
        <v>0.5</v>
      </c>
      <c r="I18" s="350"/>
      <c r="J18" s="267" t="s">
        <v>1</v>
      </c>
      <c r="K18" s="268" t="s">
        <v>2</v>
      </c>
      <c r="L18" s="268" t="s">
        <v>3</v>
      </c>
      <c r="M18" s="268" t="s">
        <v>4</v>
      </c>
      <c r="N18" s="268" t="s">
        <v>5</v>
      </c>
      <c r="O18" s="268" t="s">
        <v>6</v>
      </c>
      <c r="Q18" s="356"/>
      <c r="R18" s="356" t="s">
        <v>2</v>
      </c>
      <c r="S18" s="356">
        <v>5</v>
      </c>
      <c r="T18" s="356" t="s">
        <v>2</v>
      </c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</row>
    <row r="19" spans="1:34" ht="27" customHeight="1" x14ac:dyDescent="0.3">
      <c r="B19" s="31"/>
      <c r="C19" s="31"/>
      <c r="E19" s="442"/>
      <c r="F19" s="436"/>
      <c r="G19" s="351" t="s">
        <v>232</v>
      </c>
      <c r="H19" s="352"/>
      <c r="I19" s="353"/>
      <c r="J19" s="48"/>
      <c r="K19" s="281"/>
      <c r="L19" s="281"/>
      <c r="M19" s="238"/>
      <c r="N19" s="238"/>
      <c r="O19" s="49"/>
      <c r="Q19" s="356"/>
      <c r="R19" s="356" t="s">
        <v>3</v>
      </c>
      <c r="S19" s="356">
        <v>4</v>
      </c>
      <c r="T19" s="356" t="s">
        <v>3</v>
      </c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</row>
    <row r="20" spans="1:34" ht="27" customHeight="1" thickBot="1" x14ac:dyDescent="0.35">
      <c r="B20" s="31"/>
      <c r="C20" s="31"/>
      <c r="E20" s="442"/>
      <c r="F20" s="440"/>
      <c r="G20" s="388" t="s">
        <v>232</v>
      </c>
      <c r="H20" s="389"/>
      <c r="I20" s="390"/>
      <c r="J20" s="391"/>
      <c r="K20" s="392"/>
      <c r="L20" s="392"/>
      <c r="M20" s="392"/>
      <c r="N20" s="392"/>
      <c r="O20" s="392"/>
      <c r="Q20" s="356"/>
      <c r="R20" s="356" t="s">
        <v>4</v>
      </c>
      <c r="S20" s="356">
        <v>3</v>
      </c>
      <c r="T20" s="356" t="s">
        <v>4</v>
      </c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</row>
    <row r="21" spans="1:34" ht="27" customHeight="1" thickTop="1" x14ac:dyDescent="0.3">
      <c r="A21" s="12" t="e">
        <f>F18&amp;"."&amp;#REF!</f>
        <v>#REF!</v>
      </c>
      <c r="B21" s="31">
        <f>B18</f>
        <v>0</v>
      </c>
      <c r="C21" s="31" t="str">
        <f>IF(ROUND(SUMIF(B5:B22,B21,H5:H22),3)&lt;&gt;1,"Error","")</f>
        <v/>
      </c>
      <c r="E21" s="442"/>
      <c r="F21" s="435" t="s">
        <v>190</v>
      </c>
      <c r="G21" s="381" t="s">
        <v>207</v>
      </c>
      <c r="H21" s="382">
        <v>0.5</v>
      </c>
      <c r="I21" s="383"/>
      <c r="J21" s="375" t="s">
        <v>35</v>
      </c>
      <c r="K21" s="376" t="s">
        <v>46</v>
      </c>
      <c r="L21" s="376" t="s">
        <v>38</v>
      </c>
      <c r="M21" s="376" t="s">
        <v>41</v>
      </c>
      <c r="N21" s="376" t="s">
        <v>44</v>
      </c>
      <c r="O21" s="377" t="s">
        <v>288</v>
      </c>
      <c r="Q21" s="356"/>
      <c r="R21" s="356" t="s">
        <v>5</v>
      </c>
      <c r="S21" s="356">
        <v>2</v>
      </c>
      <c r="T21" s="356" t="s">
        <v>5</v>
      </c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</row>
    <row r="22" spans="1:34" ht="27" customHeight="1" x14ac:dyDescent="0.3">
      <c r="A22" s="12" t="e">
        <f>F18&amp;"."&amp;#REF!</f>
        <v>#REF!</v>
      </c>
      <c r="B22" s="31">
        <f>B21</f>
        <v>0</v>
      </c>
      <c r="C22" s="31" t="str">
        <f>IF(ROUND(SUMIF(B5:B22,B22,H5:H22),3)&lt;&gt;1,"Error","")</f>
        <v/>
      </c>
      <c r="E22" s="442"/>
      <c r="F22" s="436"/>
      <c r="G22" s="348" t="s">
        <v>232</v>
      </c>
      <c r="H22" s="349"/>
      <c r="I22" s="350"/>
      <c r="J22" s="267"/>
      <c r="K22" s="268"/>
      <c r="L22" s="268"/>
      <c r="M22" s="268"/>
      <c r="N22" s="268"/>
      <c r="O22" s="268"/>
      <c r="Q22" s="356"/>
      <c r="R22" s="356" t="s">
        <v>6</v>
      </c>
      <c r="S22" s="356">
        <v>1</v>
      </c>
      <c r="T22" s="356" t="s">
        <v>6</v>
      </c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</row>
    <row r="23" spans="1:34" ht="27" customHeight="1" x14ac:dyDescent="0.3">
      <c r="B23" s="31"/>
      <c r="C23" s="31"/>
      <c r="E23" s="442"/>
      <c r="F23" s="436"/>
      <c r="G23" s="378" t="s">
        <v>232</v>
      </c>
      <c r="H23" s="379"/>
      <c r="I23" s="380"/>
      <c r="J23" s="371"/>
      <c r="K23" s="372"/>
      <c r="L23" s="372"/>
      <c r="M23" s="373"/>
      <c r="N23" s="373"/>
      <c r="O23" s="374"/>
      <c r="Q23" s="356"/>
      <c r="R23" s="356" t="s">
        <v>6</v>
      </c>
      <c r="S23" s="356">
        <v>1</v>
      </c>
      <c r="T23" s="356" t="s">
        <v>6</v>
      </c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</row>
    <row r="24" spans="1:34" ht="27" customHeight="1" x14ac:dyDescent="0.3">
      <c r="B24" s="31"/>
      <c r="C24" s="31"/>
      <c r="E24" s="442"/>
      <c r="F24" s="436"/>
      <c r="G24" s="345" t="s">
        <v>232</v>
      </c>
      <c r="H24" s="346"/>
      <c r="I24" s="347"/>
      <c r="J24" s="336"/>
      <c r="K24" s="337"/>
      <c r="L24" s="337"/>
      <c r="M24" s="337"/>
      <c r="N24" s="337"/>
      <c r="O24" s="338"/>
    </row>
    <row r="25" spans="1:34" s="14" customFormat="1" x14ac:dyDescent="0.3">
      <c r="C25" s="44"/>
      <c r="E25" s="7"/>
      <c r="F25" s="8"/>
      <c r="G25" s="28"/>
      <c r="H25" s="38"/>
      <c r="I25" s="249"/>
      <c r="J25" s="275"/>
      <c r="K25" s="276"/>
      <c r="L25" s="276"/>
      <c r="M25" s="276"/>
      <c r="N25" s="276"/>
      <c r="O25" s="277"/>
    </row>
    <row r="26" spans="1:34" ht="25.5" customHeight="1" thickBot="1" x14ac:dyDescent="0.35">
      <c r="C26" s="31"/>
      <c r="E26" s="443" t="s">
        <v>181</v>
      </c>
      <c r="F26" s="6" t="s">
        <v>0</v>
      </c>
      <c r="G26" s="6" t="s">
        <v>12</v>
      </c>
      <c r="H26" s="39" t="s">
        <v>49</v>
      </c>
      <c r="I26" s="250"/>
      <c r="J26" s="278" t="s">
        <v>1</v>
      </c>
      <c r="K26" s="279" t="s">
        <v>2</v>
      </c>
      <c r="L26" s="279" t="s">
        <v>3</v>
      </c>
      <c r="M26" s="279" t="s">
        <v>4</v>
      </c>
      <c r="N26" s="279" t="s">
        <v>5</v>
      </c>
      <c r="O26" s="280" t="s">
        <v>6</v>
      </c>
    </row>
    <row r="27" spans="1:34" ht="27" customHeight="1" thickTop="1" x14ac:dyDescent="0.3">
      <c r="A27" s="12" t="e">
        <f>F27&amp;"."&amp;#REF!</f>
        <v>#REF!</v>
      </c>
      <c r="B27" s="31" t="str">
        <f>F27</f>
        <v>Pedestrians</v>
      </c>
      <c r="C27" s="31" t="str">
        <f>IF(ROUND(SUMIF(B27:B44,B27,H27:H44),3)&lt;&gt;1,"Error","")</f>
        <v>Error</v>
      </c>
      <c r="E27" s="444"/>
      <c r="F27" s="429" t="s">
        <v>174</v>
      </c>
      <c r="G27" s="29" t="s">
        <v>276</v>
      </c>
      <c r="H27" s="40">
        <v>0.25</v>
      </c>
      <c r="I27" s="253"/>
      <c r="J27" s="265" t="s">
        <v>277</v>
      </c>
      <c r="K27" s="1" t="s">
        <v>278</v>
      </c>
      <c r="L27" s="1" t="s">
        <v>279</v>
      </c>
      <c r="M27" s="1" t="s">
        <v>280</v>
      </c>
      <c r="N27" s="1" t="s">
        <v>281</v>
      </c>
      <c r="O27" s="266">
        <v>0</v>
      </c>
    </row>
    <row r="28" spans="1:34" ht="27" customHeight="1" x14ac:dyDescent="0.3">
      <c r="A28" s="12" t="e">
        <f>F27&amp;"."&amp;#REF!</f>
        <v>#REF!</v>
      </c>
      <c r="B28" s="31" t="str">
        <f>B27</f>
        <v>Pedestrians</v>
      </c>
      <c r="C28" s="31" t="str">
        <f>IF(ROUND(SUMIF(B27:B44,B28,H27:H44),3)&lt;&gt;1,"Error","")</f>
        <v>Error</v>
      </c>
      <c r="E28" s="444"/>
      <c r="F28" s="430"/>
      <c r="G28" s="30" t="s">
        <v>284</v>
      </c>
      <c r="H28" s="41">
        <v>0.25</v>
      </c>
      <c r="I28" s="254"/>
      <c r="J28" s="267" t="s">
        <v>252</v>
      </c>
      <c r="K28" s="268" t="s">
        <v>306</v>
      </c>
      <c r="L28" s="268" t="s">
        <v>305</v>
      </c>
      <c r="M28" s="268" t="s">
        <v>304</v>
      </c>
      <c r="N28" s="268" t="s">
        <v>308</v>
      </c>
      <c r="O28" s="268" t="s">
        <v>289</v>
      </c>
    </row>
    <row r="29" spans="1:34" ht="27" customHeight="1" x14ac:dyDescent="0.3">
      <c r="A29" s="12" t="e">
        <f>F27&amp;"."&amp;#REF!</f>
        <v>#REF!</v>
      </c>
      <c r="B29" s="31" t="str">
        <f>B28</f>
        <v>Pedestrians</v>
      </c>
      <c r="C29" s="31" t="str">
        <f>IF(ROUND(SUMIF(B27:B44,B29,H27:H44),3)&lt;&gt;1,"Error","")</f>
        <v>Error</v>
      </c>
      <c r="E29" s="444"/>
      <c r="F29" s="430"/>
      <c r="G29" s="360" t="s">
        <v>283</v>
      </c>
      <c r="H29" s="42">
        <v>0.25</v>
      </c>
      <c r="I29" s="363"/>
      <c r="J29" s="371" t="s">
        <v>254</v>
      </c>
      <c r="K29" s="372" t="s">
        <v>31</v>
      </c>
      <c r="L29" s="372" t="s">
        <v>32</v>
      </c>
      <c r="M29" s="373" t="s">
        <v>208</v>
      </c>
      <c r="N29" s="373" t="s">
        <v>209</v>
      </c>
      <c r="O29" s="374" t="s">
        <v>290</v>
      </c>
    </row>
    <row r="30" spans="1:34" ht="28.2" thickBot="1" x14ac:dyDescent="0.35">
      <c r="A30" s="12" t="e">
        <f>F30&amp;"."&amp;#REF!</f>
        <v>#REF!</v>
      </c>
      <c r="B30" s="31">
        <f>F30</f>
        <v>0</v>
      </c>
      <c r="C30" s="31" t="str">
        <f>IF(ROUND(SUMIF(B27:B44,B30,H27:H44),3)&lt;&gt;1,"Error","")</f>
        <v>Error</v>
      </c>
      <c r="E30" s="444"/>
      <c r="F30" s="431"/>
      <c r="G30" s="361" t="s">
        <v>324</v>
      </c>
      <c r="H30" s="362">
        <v>0.25</v>
      </c>
      <c r="I30" s="332"/>
      <c r="J30" s="359" t="s">
        <v>369</v>
      </c>
      <c r="K30" s="358" t="s">
        <v>325</v>
      </c>
      <c r="L30" s="358" t="s">
        <v>326</v>
      </c>
      <c r="M30" s="358" t="s">
        <v>327</v>
      </c>
      <c r="N30" s="358" t="s">
        <v>336</v>
      </c>
      <c r="O30" s="338" t="s">
        <v>328</v>
      </c>
    </row>
    <row r="31" spans="1:34" ht="27" customHeight="1" thickTop="1" x14ac:dyDescent="0.3">
      <c r="A31" s="12" t="e">
        <f>F30&amp;"."&amp;#REF!</f>
        <v>#REF!</v>
      </c>
      <c r="B31" s="31">
        <f>B30</f>
        <v>0</v>
      </c>
      <c r="C31" s="31" t="str">
        <f>IF(ROUND(SUMIF(B27:B44,B31,H27:H44),3)&lt;&gt;1,"Error","")</f>
        <v>Error</v>
      </c>
      <c r="E31" s="444"/>
      <c r="F31" s="429" t="s">
        <v>198</v>
      </c>
      <c r="G31" s="29" t="s">
        <v>282</v>
      </c>
      <c r="H31" s="40">
        <v>0.25</v>
      </c>
      <c r="I31" s="253"/>
      <c r="J31" s="265" t="s">
        <v>277</v>
      </c>
      <c r="K31" s="1" t="s">
        <v>278</v>
      </c>
      <c r="L31" s="1" t="s">
        <v>279</v>
      </c>
      <c r="M31" s="1" t="s">
        <v>307</v>
      </c>
      <c r="N31" s="1" t="s">
        <v>281</v>
      </c>
      <c r="O31" s="266">
        <v>0</v>
      </c>
    </row>
    <row r="32" spans="1:34" ht="27" customHeight="1" x14ac:dyDescent="0.3">
      <c r="A32" s="12" t="e">
        <f>F30&amp;"."&amp;#REF!</f>
        <v>#REF!</v>
      </c>
      <c r="B32" s="31">
        <f>B31</f>
        <v>0</v>
      </c>
      <c r="C32" s="31" t="str">
        <f>IF(ROUND(SUMIF(B27:B44,B32,H27:H44),3)&lt;&gt;1,"Error","")</f>
        <v>Error</v>
      </c>
      <c r="E32" s="444"/>
      <c r="F32" s="430"/>
      <c r="G32" s="30" t="s">
        <v>284</v>
      </c>
      <c r="H32" s="41">
        <v>0.25</v>
      </c>
      <c r="I32" s="254"/>
      <c r="J32" s="267" t="s">
        <v>252</v>
      </c>
      <c r="K32" s="268" t="s">
        <v>306</v>
      </c>
      <c r="L32" s="268" t="s">
        <v>305</v>
      </c>
      <c r="M32" s="268" t="s">
        <v>304</v>
      </c>
      <c r="N32" s="268" t="s">
        <v>308</v>
      </c>
      <c r="O32" s="268" t="s">
        <v>289</v>
      </c>
    </row>
    <row r="33" spans="1:22" ht="27" customHeight="1" x14ac:dyDescent="0.3">
      <c r="A33" s="12" t="e">
        <f>F33&amp;"."&amp;#REF!</f>
        <v>#REF!</v>
      </c>
      <c r="B33" s="31">
        <f>F33</f>
        <v>0</v>
      </c>
      <c r="C33" s="31" t="str">
        <f>IF(ROUND(SUMIF(B27:B44,B33,H27:H44),3)&lt;&gt;1,"Error","")</f>
        <v>Error</v>
      </c>
      <c r="E33" s="444"/>
      <c r="F33" s="430"/>
      <c r="G33" s="360" t="s">
        <v>283</v>
      </c>
      <c r="H33" s="366">
        <v>0.25</v>
      </c>
      <c r="I33" s="255"/>
      <c r="J33" s="371" t="s">
        <v>254</v>
      </c>
      <c r="K33" s="372" t="s">
        <v>31</v>
      </c>
      <c r="L33" s="372" t="s">
        <v>32</v>
      </c>
      <c r="M33" s="373" t="s">
        <v>33</v>
      </c>
      <c r="N33" s="373" t="s">
        <v>34</v>
      </c>
      <c r="O33" s="374" t="s">
        <v>290</v>
      </c>
    </row>
    <row r="34" spans="1:22" ht="28.2" thickBot="1" x14ac:dyDescent="0.35">
      <c r="A34" s="12" t="e">
        <f>F33&amp;"."&amp;#REF!</f>
        <v>#REF!</v>
      </c>
      <c r="B34" s="31">
        <f>B33</f>
        <v>0</v>
      </c>
      <c r="C34" s="31" t="str">
        <f>IF(ROUND(SUMIF(B27:B44,B34,H27:H44),3)&lt;&gt;1,"Error","")</f>
        <v>Error</v>
      </c>
      <c r="E34" s="444"/>
      <c r="F34" s="430"/>
      <c r="G34" s="361" t="s">
        <v>324</v>
      </c>
      <c r="H34" s="331">
        <v>0.25</v>
      </c>
      <c r="I34" s="365"/>
      <c r="J34" s="359" t="s">
        <v>369</v>
      </c>
      <c r="K34" s="337" t="s">
        <v>325</v>
      </c>
      <c r="L34" s="337" t="s">
        <v>326</v>
      </c>
      <c r="M34" s="337" t="s">
        <v>327</v>
      </c>
      <c r="N34" s="337" t="s">
        <v>336</v>
      </c>
      <c r="O34" s="338" t="s">
        <v>328</v>
      </c>
    </row>
    <row r="35" spans="1:22" ht="27" customHeight="1" thickTop="1" x14ac:dyDescent="0.3">
      <c r="A35" s="12" t="e">
        <f>F33&amp;"."&amp;#REF!</f>
        <v>#REF!</v>
      </c>
      <c r="B35" s="31">
        <f>B34</f>
        <v>0</v>
      </c>
      <c r="C35" s="31" t="str">
        <f>IF(ROUND(SUMIF(B27:B44,B35,H27:H44),3)&lt;&gt;1,"Error","")</f>
        <v>Error</v>
      </c>
      <c r="E35" s="444"/>
      <c r="F35" s="429" t="s">
        <v>202</v>
      </c>
      <c r="G35" s="29" t="s">
        <v>212</v>
      </c>
      <c r="H35" s="243">
        <v>0.33300000000000002</v>
      </c>
      <c r="I35" s="253"/>
      <c r="J35" s="265" t="s">
        <v>330</v>
      </c>
      <c r="K35" s="1"/>
      <c r="L35" s="1" t="s">
        <v>331</v>
      </c>
      <c r="M35" s="1"/>
      <c r="N35" s="1"/>
      <c r="O35" s="266" t="s">
        <v>329</v>
      </c>
    </row>
    <row r="36" spans="1:22" ht="27" customHeight="1" x14ac:dyDescent="0.3">
      <c r="A36" s="12" t="e">
        <f>F36&amp;"."&amp;#REF!</f>
        <v>#REF!</v>
      </c>
      <c r="B36" s="31">
        <f>F36</f>
        <v>0</v>
      </c>
      <c r="C36" s="31" t="str">
        <f>IF(ROUND(SUMIF(B27:B44,B36,H27:H44),3)&lt;&gt;1,"Error","")</f>
        <v>Error</v>
      </c>
      <c r="E36" s="444"/>
      <c r="F36" s="430"/>
      <c r="G36" s="30" t="s">
        <v>203</v>
      </c>
      <c r="H36" s="244">
        <v>0.33300000000000002</v>
      </c>
      <c r="I36" s="254"/>
      <c r="J36" s="267" t="s">
        <v>35</v>
      </c>
      <c r="K36" s="268" t="s">
        <v>46</v>
      </c>
      <c r="L36" s="268" t="s">
        <v>38</v>
      </c>
      <c r="M36" s="268" t="s">
        <v>41</v>
      </c>
      <c r="N36" s="268" t="s">
        <v>44</v>
      </c>
      <c r="O36" s="268" t="s">
        <v>288</v>
      </c>
    </row>
    <row r="37" spans="1:22" ht="27" customHeight="1" x14ac:dyDescent="0.3">
      <c r="A37" s="12" t="e">
        <f>F36&amp;"."&amp;#REF!</f>
        <v>#REF!</v>
      </c>
      <c r="B37" s="31">
        <f>B36</f>
        <v>0</v>
      </c>
      <c r="C37" s="31" t="str">
        <f>IF(ROUND(SUMIF(B27:B44,B37,H27:H44),3)&lt;&gt;1,"Error","")</f>
        <v>Error</v>
      </c>
      <c r="E37" s="444"/>
      <c r="F37" s="430"/>
      <c r="G37" s="367" t="s">
        <v>204</v>
      </c>
      <c r="H37" s="245">
        <v>0.33300000000000002</v>
      </c>
      <c r="I37" s="255"/>
      <c r="J37" s="371" t="s">
        <v>1</v>
      </c>
      <c r="K37" s="372" t="s">
        <v>2</v>
      </c>
      <c r="L37" s="372" t="s">
        <v>3</v>
      </c>
      <c r="M37" s="373" t="s">
        <v>4</v>
      </c>
      <c r="N37" s="373" t="s">
        <v>5</v>
      </c>
      <c r="O37" s="374" t="s">
        <v>6</v>
      </c>
    </row>
    <row r="38" spans="1:22" ht="27" customHeight="1" thickBot="1" x14ac:dyDescent="0.35">
      <c r="B38" s="31"/>
      <c r="C38" s="31"/>
      <c r="E38" s="444"/>
      <c r="F38" s="431"/>
      <c r="G38" s="330" t="s">
        <v>232</v>
      </c>
      <c r="H38" s="362"/>
      <c r="I38" s="365"/>
      <c r="J38" s="336"/>
      <c r="K38" s="337"/>
      <c r="L38" s="337"/>
      <c r="M38" s="337"/>
      <c r="N38" s="337"/>
      <c r="O38" s="338"/>
    </row>
    <row r="39" spans="1:22" ht="27" customHeight="1" thickTop="1" x14ac:dyDescent="0.3">
      <c r="A39" s="12" t="e">
        <f>F36&amp;"."&amp;#REF!</f>
        <v>#REF!</v>
      </c>
      <c r="B39" s="31">
        <f>B37</f>
        <v>0</v>
      </c>
      <c r="C39" s="31" t="str">
        <f>IF(ROUND(SUMIF(B27:B44,B39,H27:H44),3)&lt;&gt;1,"Error","")</f>
        <v>Error</v>
      </c>
      <c r="E39" s="444"/>
      <c r="F39" s="429" t="s">
        <v>189</v>
      </c>
      <c r="G39" s="29" t="s">
        <v>284</v>
      </c>
      <c r="H39" s="243">
        <v>0.5</v>
      </c>
      <c r="I39" s="253"/>
      <c r="J39" s="265" t="s">
        <v>291</v>
      </c>
      <c r="K39" s="1" t="s">
        <v>309</v>
      </c>
      <c r="L39" s="1" t="s">
        <v>39</v>
      </c>
      <c r="M39" s="1" t="s">
        <v>42</v>
      </c>
      <c r="N39" s="1" t="s">
        <v>45</v>
      </c>
      <c r="O39" s="266" t="s">
        <v>258</v>
      </c>
    </row>
    <row r="40" spans="1:22" ht="27" customHeight="1" x14ac:dyDescent="0.3">
      <c r="A40" s="12" t="e">
        <f>F40&amp;"."&amp;#REF!</f>
        <v>#REF!</v>
      </c>
      <c r="B40" s="31">
        <f>F40</f>
        <v>0</v>
      </c>
      <c r="C40" s="31" t="str">
        <f>IF(ROUND(SUMIF(B27:B44,B40,H27:H44),3)&lt;&gt;1,"Error","")</f>
        <v>Error</v>
      </c>
      <c r="E40" s="444"/>
      <c r="F40" s="430"/>
      <c r="G40" s="30" t="s">
        <v>205</v>
      </c>
      <c r="H40" s="244">
        <v>0.5</v>
      </c>
      <c r="I40" s="254"/>
      <c r="J40" s="267" t="s">
        <v>1</v>
      </c>
      <c r="K40" s="268" t="s">
        <v>2</v>
      </c>
      <c r="L40" s="268" t="s">
        <v>3</v>
      </c>
      <c r="M40" s="268" t="s">
        <v>4</v>
      </c>
      <c r="N40" s="268" t="s">
        <v>5</v>
      </c>
      <c r="O40" s="268" t="s">
        <v>6</v>
      </c>
    </row>
    <row r="41" spans="1:22" ht="27" customHeight="1" x14ac:dyDescent="0.3">
      <c r="B41" s="31"/>
      <c r="C41" s="31"/>
      <c r="E41" s="444"/>
      <c r="F41" s="430"/>
      <c r="G41" s="367" t="s">
        <v>232</v>
      </c>
      <c r="H41" s="245"/>
      <c r="I41" s="363"/>
      <c r="J41" s="371"/>
      <c r="K41" s="372"/>
      <c r="L41" s="372"/>
      <c r="M41" s="373"/>
      <c r="N41" s="373"/>
      <c r="O41" s="374"/>
    </row>
    <row r="42" spans="1:22" ht="27" customHeight="1" thickBot="1" x14ac:dyDescent="0.35">
      <c r="B42" s="31"/>
      <c r="C42" s="31"/>
      <c r="E42" s="444"/>
      <c r="F42" s="431"/>
      <c r="G42" s="368" t="s">
        <v>232</v>
      </c>
      <c r="H42" s="362"/>
      <c r="I42" s="332"/>
      <c r="J42" s="336"/>
      <c r="K42" s="337"/>
      <c r="L42" s="337"/>
      <c r="M42" s="337"/>
      <c r="N42" s="337"/>
      <c r="O42" s="338"/>
    </row>
    <row r="43" spans="1:22" ht="27" customHeight="1" thickTop="1" x14ac:dyDescent="0.3">
      <c r="A43" s="12" t="e">
        <f>F40&amp;"."&amp;#REF!</f>
        <v>#REF!</v>
      </c>
      <c r="B43" s="31">
        <f>B40</f>
        <v>0</v>
      </c>
      <c r="C43" s="31" t="str">
        <f>IF(ROUND(SUMIF(B27:B44,B43,H27:H44),3)&lt;&gt;1,"Error","")</f>
        <v>Error</v>
      </c>
      <c r="E43" s="444"/>
      <c r="F43" s="429" t="s">
        <v>190</v>
      </c>
      <c r="G43" s="29" t="s">
        <v>206</v>
      </c>
      <c r="H43" s="40">
        <v>0.5</v>
      </c>
      <c r="I43" s="256"/>
      <c r="J43" s="265" t="s">
        <v>167</v>
      </c>
      <c r="K43" s="1" t="s">
        <v>332</v>
      </c>
      <c r="L43" s="1" t="s">
        <v>333</v>
      </c>
      <c r="M43" s="1" t="s">
        <v>334</v>
      </c>
      <c r="N43" s="1"/>
      <c r="O43" s="266" t="s">
        <v>259</v>
      </c>
    </row>
    <row r="44" spans="1:22" ht="27" customHeight="1" x14ac:dyDescent="0.3">
      <c r="A44" s="12" t="e">
        <f>F40&amp;"."&amp;#REF!</f>
        <v>#REF!</v>
      </c>
      <c r="B44" s="31">
        <f>B43</f>
        <v>0</v>
      </c>
      <c r="C44" s="31" t="str">
        <f>IF(ROUND(SUMIF(B27:B44,B44,H27:H44),3)&lt;&gt;1,"Error","")</f>
        <v>Error</v>
      </c>
      <c r="E44" s="444"/>
      <c r="F44" s="430"/>
      <c r="G44" s="24" t="s">
        <v>207</v>
      </c>
      <c r="H44" s="41">
        <v>0.5</v>
      </c>
      <c r="I44" s="254"/>
      <c r="J44" s="267" t="s">
        <v>35</v>
      </c>
      <c r="K44" s="268" t="s">
        <v>46</v>
      </c>
      <c r="L44" s="268" t="s">
        <v>38</v>
      </c>
      <c r="M44" s="268" t="s">
        <v>41</v>
      </c>
      <c r="N44" s="268" t="s">
        <v>44</v>
      </c>
      <c r="O44" s="268" t="s">
        <v>288</v>
      </c>
    </row>
    <row r="45" spans="1:22" ht="27" customHeight="1" x14ac:dyDescent="0.3">
      <c r="B45" s="31"/>
      <c r="C45" s="31"/>
      <c r="E45" s="444"/>
      <c r="F45" s="430"/>
      <c r="G45" s="360" t="s">
        <v>232</v>
      </c>
      <c r="H45" s="366"/>
      <c r="I45" s="363"/>
      <c r="J45" s="371"/>
      <c r="K45" s="372"/>
      <c r="L45" s="372"/>
      <c r="M45" s="373"/>
      <c r="N45" s="373"/>
      <c r="O45" s="372"/>
    </row>
    <row r="46" spans="1:22" ht="27" customHeight="1" x14ac:dyDescent="0.3">
      <c r="B46" s="31"/>
      <c r="C46" s="31"/>
      <c r="E46" s="444"/>
      <c r="F46" s="430"/>
      <c r="G46" s="364" t="s">
        <v>232</v>
      </c>
      <c r="H46" s="331"/>
      <c r="I46" s="332"/>
      <c r="J46" s="336"/>
      <c r="K46" s="337"/>
      <c r="L46" s="337"/>
      <c r="M46" s="337"/>
      <c r="N46" s="337"/>
      <c r="O46" s="338"/>
    </row>
    <row r="47" spans="1:22" x14ac:dyDescent="0.3">
      <c r="C47" s="43"/>
      <c r="I47" s="252"/>
      <c r="J47" s="282"/>
      <c r="K47" s="282"/>
      <c r="L47" s="282"/>
      <c r="M47" s="282"/>
      <c r="N47" s="282"/>
      <c r="O47" s="282"/>
    </row>
    <row r="48" spans="1:22" ht="31.8" customHeight="1" thickBot="1" x14ac:dyDescent="0.35">
      <c r="E48" s="441" t="s">
        <v>299</v>
      </c>
      <c r="F48" s="2" t="s">
        <v>0</v>
      </c>
      <c r="G48" s="2" t="s">
        <v>12</v>
      </c>
      <c r="H48" s="34" t="s">
        <v>49</v>
      </c>
      <c r="I48" s="2"/>
      <c r="J48" s="278" t="s">
        <v>1</v>
      </c>
      <c r="K48" s="279" t="s">
        <v>2</v>
      </c>
      <c r="L48" s="279" t="s">
        <v>3</v>
      </c>
      <c r="M48" s="279" t="s">
        <v>4</v>
      </c>
      <c r="N48" s="279" t="s">
        <v>5</v>
      </c>
      <c r="O48" s="280" t="s">
        <v>6</v>
      </c>
      <c r="R48"/>
      <c r="S48"/>
      <c r="T48"/>
      <c r="U48"/>
      <c r="V48"/>
    </row>
    <row r="49" spans="5:22" ht="25.05" customHeight="1" thickTop="1" x14ac:dyDescent="0.3">
      <c r="E49" s="441"/>
      <c r="F49" s="426" t="s">
        <v>174</v>
      </c>
      <c r="G49" s="25" t="s">
        <v>65</v>
      </c>
      <c r="H49" s="35">
        <v>0.33300000000000002</v>
      </c>
      <c r="I49" s="246"/>
      <c r="J49" s="265" t="s">
        <v>335</v>
      </c>
      <c r="K49" s="271" t="s">
        <v>336</v>
      </c>
      <c r="L49" s="271" t="s">
        <v>327</v>
      </c>
      <c r="M49" s="1" t="s">
        <v>337</v>
      </c>
      <c r="N49" s="1" t="s">
        <v>338</v>
      </c>
      <c r="O49" s="266" t="s">
        <v>339</v>
      </c>
      <c r="R49"/>
      <c r="S49"/>
      <c r="T49"/>
      <c r="U49"/>
      <c r="V49"/>
    </row>
    <row r="50" spans="5:22" ht="25.05" customHeight="1" x14ac:dyDescent="0.3">
      <c r="E50" s="441"/>
      <c r="F50" s="427"/>
      <c r="G50" s="26" t="s">
        <v>227</v>
      </c>
      <c r="H50" s="36">
        <v>0.33300000000000002</v>
      </c>
      <c r="I50" s="247"/>
      <c r="J50" s="270" t="s">
        <v>340</v>
      </c>
      <c r="K50" s="273" t="s">
        <v>327</v>
      </c>
      <c r="L50" s="273" t="s">
        <v>326</v>
      </c>
      <c r="M50" s="273" t="s">
        <v>341</v>
      </c>
      <c r="N50" s="273" t="s">
        <v>342</v>
      </c>
      <c r="O50" s="274" t="s">
        <v>343</v>
      </c>
      <c r="R50"/>
      <c r="S50"/>
      <c r="T50"/>
      <c r="U50"/>
      <c r="V50"/>
    </row>
    <row r="51" spans="5:22" ht="25.05" customHeight="1" x14ac:dyDescent="0.3">
      <c r="E51" s="441"/>
      <c r="F51" s="427"/>
      <c r="G51" s="27" t="s">
        <v>214</v>
      </c>
      <c r="H51" s="37">
        <v>0.33300000000000002</v>
      </c>
      <c r="I51" s="248"/>
      <c r="J51" s="283">
        <v>200</v>
      </c>
      <c r="K51" s="284" t="s">
        <v>344</v>
      </c>
      <c r="L51" s="284" t="s">
        <v>345</v>
      </c>
      <c r="M51" s="284" t="s">
        <v>346</v>
      </c>
      <c r="N51" s="284" t="s">
        <v>347</v>
      </c>
      <c r="O51" s="285" t="s">
        <v>353</v>
      </c>
      <c r="R51"/>
      <c r="S51"/>
      <c r="T51"/>
      <c r="U51"/>
      <c r="V51"/>
    </row>
    <row r="52" spans="5:22" ht="25.05" customHeight="1" thickBot="1" x14ac:dyDescent="0.35">
      <c r="E52" s="441"/>
      <c r="F52" s="428"/>
      <c r="G52" s="333" t="s">
        <v>232</v>
      </c>
      <c r="H52" s="334"/>
      <c r="I52" s="335"/>
      <c r="J52" s="336"/>
      <c r="K52" s="337"/>
      <c r="L52" s="337"/>
      <c r="M52" s="337"/>
      <c r="N52" s="337"/>
      <c r="O52" s="338"/>
      <c r="R52"/>
      <c r="S52"/>
      <c r="T52"/>
      <c r="U52"/>
      <c r="V52"/>
    </row>
    <row r="53" spans="5:22" ht="25.05" customHeight="1" thickTop="1" x14ac:dyDescent="0.3">
      <c r="E53" s="441"/>
      <c r="F53" s="426" t="s">
        <v>198</v>
      </c>
      <c r="G53" s="25" t="s">
        <v>215</v>
      </c>
      <c r="H53" s="35">
        <v>0.33300000000000002</v>
      </c>
      <c r="I53" s="246"/>
      <c r="J53" s="265" t="s">
        <v>348</v>
      </c>
      <c r="K53" s="271" t="s">
        <v>349</v>
      </c>
      <c r="L53" s="271" t="s">
        <v>350</v>
      </c>
      <c r="M53" s="1" t="s">
        <v>354</v>
      </c>
      <c r="N53" s="1" t="s">
        <v>351</v>
      </c>
      <c r="O53" s="266" t="s">
        <v>352</v>
      </c>
      <c r="R53"/>
      <c r="S53"/>
      <c r="T53"/>
      <c r="U53"/>
      <c r="V53"/>
    </row>
    <row r="54" spans="5:22" ht="108" customHeight="1" x14ac:dyDescent="0.3">
      <c r="E54" s="441"/>
      <c r="F54" s="427"/>
      <c r="G54" s="26" t="s">
        <v>216</v>
      </c>
      <c r="H54" s="36">
        <v>0.33300000000000002</v>
      </c>
      <c r="I54" s="247"/>
      <c r="J54" s="270" t="s">
        <v>355</v>
      </c>
      <c r="K54" s="270" t="s">
        <v>356</v>
      </c>
      <c r="L54" s="270"/>
      <c r="M54" s="270" t="s">
        <v>357</v>
      </c>
      <c r="N54" s="270"/>
      <c r="O54" s="274" t="s">
        <v>358</v>
      </c>
      <c r="R54"/>
      <c r="S54"/>
      <c r="T54"/>
      <c r="U54"/>
      <c r="V54"/>
    </row>
    <row r="55" spans="5:22" ht="55.2" x14ac:dyDescent="0.3">
      <c r="E55" s="441"/>
      <c r="F55" s="427"/>
      <c r="G55" s="27" t="s">
        <v>372</v>
      </c>
      <c r="H55" s="37">
        <v>0.33300000000000002</v>
      </c>
      <c r="I55" s="248"/>
      <c r="J55" s="283" t="s">
        <v>373</v>
      </c>
      <c r="K55" s="300" t="s">
        <v>376</v>
      </c>
      <c r="L55" s="301" t="s">
        <v>374</v>
      </c>
      <c r="M55" s="300" t="s">
        <v>377</v>
      </c>
      <c r="N55" s="301" t="s">
        <v>378</v>
      </c>
      <c r="O55" s="300" t="s">
        <v>375</v>
      </c>
      <c r="R55"/>
      <c r="S55"/>
      <c r="T55"/>
      <c r="U55"/>
      <c r="V55"/>
    </row>
    <row r="56" spans="5:22" ht="25.05" customHeight="1" thickBot="1" x14ac:dyDescent="0.35">
      <c r="E56" s="441"/>
      <c r="F56" s="428"/>
      <c r="G56" s="333" t="s">
        <v>232</v>
      </c>
      <c r="H56" s="334"/>
      <c r="I56" s="335"/>
      <c r="J56" s="336"/>
      <c r="K56" s="337"/>
      <c r="L56" s="337"/>
      <c r="M56" s="337"/>
      <c r="N56" s="337"/>
      <c r="O56" s="338"/>
      <c r="R56"/>
      <c r="S56"/>
      <c r="T56"/>
      <c r="U56"/>
      <c r="V56"/>
    </row>
    <row r="57" spans="5:22" ht="64.95" customHeight="1" thickTop="1" x14ac:dyDescent="0.3">
      <c r="E57" s="441"/>
      <c r="F57" s="426" t="s">
        <v>202</v>
      </c>
      <c r="G57" s="25" t="s">
        <v>132</v>
      </c>
      <c r="H57" s="35">
        <v>0.33300000000000002</v>
      </c>
      <c r="I57" s="246"/>
      <c r="J57" s="265" t="s">
        <v>218</v>
      </c>
      <c r="K57" s="271" t="s">
        <v>219</v>
      </c>
      <c r="L57" s="271"/>
      <c r="M57" s="1" t="s">
        <v>359</v>
      </c>
      <c r="N57" s="1"/>
      <c r="O57" s="286" t="s">
        <v>360</v>
      </c>
      <c r="R57"/>
      <c r="S57"/>
      <c r="T57"/>
      <c r="U57"/>
      <c r="V57"/>
    </row>
    <row r="58" spans="5:22" ht="82.8" x14ac:dyDescent="0.3">
      <c r="E58" s="441"/>
      <c r="F58" s="427"/>
      <c r="G58" s="26" t="s">
        <v>221</v>
      </c>
      <c r="H58" s="36">
        <v>0.33300000000000002</v>
      </c>
      <c r="I58" s="251"/>
      <c r="J58" s="270" t="s">
        <v>222</v>
      </c>
      <c r="K58" s="272" t="s">
        <v>361</v>
      </c>
      <c r="L58" s="273"/>
      <c r="M58" s="273" t="s">
        <v>362</v>
      </c>
      <c r="N58" s="273"/>
      <c r="O58" s="274" t="s">
        <v>363</v>
      </c>
      <c r="R58"/>
      <c r="S58"/>
      <c r="T58"/>
      <c r="U58"/>
      <c r="V58"/>
    </row>
    <row r="59" spans="5:22" ht="21" customHeight="1" x14ac:dyDescent="0.3">
      <c r="E59" s="441"/>
      <c r="F59" s="427"/>
      <c r="G59" s="27" t="s">
        <v>204</v>
      </c>
      <c r="H59" s="37">
        <v>0.33300000000000002</v>
      </c>
      <c r="I59" s="385"/>
      <c r="J59" s="371" t="s">
        <v>1</v>
      </c>
      <c r="K59" s="372" t="s">
        <v>2</v>
      </c>
      <c r="L59" s="372" t="s">
        <v>3</v>
      </c>
      <c r="M59" s="373" t="s">
        <v>4</v>
      </c>
      <c r="N59" s="373" t="s">
        <v>5</v>
      </c>
      <c r="O59" s="372" t="s">
        <v>6</v>
      </c>
      <c r="R59"/>
      <c r="S59"/>
      <c r="T59"/>
      <c r="U59"/>
      <c r="V59"/>
    </row>
    <row r="60" spans="5:22" ht="24.6" customHeight="1" thickBot="1" x14ac:dyDescent="0.35">
      <c r="E60" s="441"/>
      <c r="F60" s="428"/>
      <c r="G60" s="333" t="s">
        <v>232</v>
      </c>
      <c r="H60" s="334"/>
      <c r="I60" s="335"/>
      <c r="J60" s="336"/>
      <c r="K60" s="337"/>
      <c r="L60" s="337"/>
      <c r="M60" s="337"/>
      <c r="N60" s="337"/>
      <c r="O60" s="338"/>
      <c r="R60"/>
      <c r="S60"/>
      <c r="T60"/>
      <c r="U60"/>
      <c r="V60"/>
    </row>
    <row r="61" spans="5:22" ht="25.05" customHeight="1" thickTop="1" x14ac:dyDescent="0.3">
      <c r="E61" s="441"/>
      <c r="F61" s="426" t="s">
        <v>189</v>
      </c>
      <c r="G61" s="25" t="s">
        <v>67</v>
      </c>
      <c r="H61" s="35">
        <v>0.5</v>
      </c>
      <c r="I61" s="246"/>
      <c r="J61" s="265" t="s">
        <v>300</v>
      </c>
      <c r="K61" s="271" t="s">
        <v>364</v>
      </c>
      <c r="L61" s="271" t="s">
        <v>365</v>
      </c>
      <c r="M61" s="1" t="s">
        <v>366</v>
      </c>
      <c r="N61" s="1"/>
      <c r="O61" s="286" t="s">
        <v>301</v>
      </c>
      <c r="R61"/>
      <c r="S61"/>
      <c r="T61"/>
      <c r="U61"/>
      <c r="V61"/>
    </row>
    <row r="62" spans="5:22" ht="25.05" customHeight="1" x14ac:dyDescent="0.3">
      <c r="E62" s="441"/>
      <c r="F62" s="427"/>
      <c r="G62" s="26" t="s">
        <v>224</v>
      </c>
      <c r="H62" s="36">
        <v>0.5</v>
      </c>
      <c r="I62" s="247"/>
      <c r="J62" s="270" t="s">
        <v>1</v>
      </c>
      <c r="K62" s="272" t="s">
        <v>2</v>
      </c>
      <c r="L62" s="273" t="s">
        <v>3</v>
      </c>
      <c r="M62" s="273" t="s">
        <v>4</v>
      </c>
      <c r="N62" s="273" t="s">
        <v>5</v>
      </c>
      <c r="O62" s="274" t="s">
        <v>6</v>
      </c>
      <c r="R62"/>
      <c r="S62"/>
      <c r="T62"/>
      <c r="U62"/>
      <c r="V62"/>
    </row>
    <row r="63" spans="5:22" ht="25.05" customHeight="1" x14ac:dyDescent="0.3">
      <c r="E63" s="441"/>
      <c r="F63" s="427"/>
      <c r="G63" s="27" t="s">
        <v>232</v>
      </c>
      <c r="H63" s="37"/>
      <c r="I63" s="248"/>
      <c r="J63" s="371"/>
      <c r="K63" s="372"/>
      <c r="L63" s="372"/>
      <c r="M63" s="373"/>
      <c r="N63" s="373"/>
      <c r="O63" s="374"/>
      <c r="R63"/>
      <c r="S63"/>
      <c r="T63"/>
      <c r="U63"/>
      <c r="V63"/>
    </row>
    <row r="64" spans="5:22" ht="25.05" customHeight="1" thickBot="1" x14ac:dyDescent="0.35">
      <c r="E64" s="441"/>
      <c r="F64" s="428"/>
      <c r="G64" s="333" t="s">
        <v>232</v>
      </c>
      <c r="H64" s="334"/>
      <c r="I64" s="335"/>
      <c r="J64" s="336"/>
      <c r="K64" s="337"/>
      <c r="L64" s="337"/>
      <c r="M64" s="337"/>
      <c r="N64" s="337"/>
      <c r="O64" s="338"/>
      <c r="R64"/>
      <c r="S64"/>
      <c r="T64"/>
      <c r="U64"/>
      <c r="V64"/>
    </row>
    <row r="65" spans="5:22" ht="25.05" customHeight="1" thickTop="1" x14ac:dyDescent="0.3">
      <c r="E65" s="441"/>
      <c r="F65" s="437" t="s">
        <v>190</v>
      </c>
      <c r="G65" s="25" t="s">
        <v>302</v>
      </c>
      <c r="H65" s="242">
        <v>0.5</v>
      </c>
      <c r="I65" s="246"/>
      <c r="J65" s="287" t="s">
        <v>256</v>
      </c>
      <c r="K65" s="288" t="s">
        <v>36</v>
      </c>
      <c r="L65" s="288" t="s">
        <v>37</v>
      </c>
      <c r="M65" s="289" t="s">
        <v>40</v>
      </c>
      <c r="N65" s="289" t="s">
        <v>303</v>
      </c>
      <c r="O65" s="290" t="s">
        <v>367</v>
      </c>
      <c r="R65"/>
      <c r="S65"/>
      <c r="T65"/>
      <c r="U65"/>
      <c r="V65"/>
    </row>
    <row r="66" spans="5:22" ht="25.05" customHeight="1" x14ac:dyDescent="0.3">
      <c r="E66" s="441"/>
      <c r="F66" s="438"/>
      <c r="G66" s="369" t="s">
        <v>225</v>
      </c>
      <c r="H66" s="36">
        <v>0.5</v>
      </c>
      <c r="I66" s="370"/>
      <c r="J66" s="267" t="s">
        <v>236</v>
      </c>
      <c r="K66" s="291" t="s">
        <v>272</v>
      </c>
      <c r="L66" s="291" t="s">
        <v>273</v>
      </c>
      <c r="M66" s="291" t="s">
        <v>274</v>
      </c>
      <c r="N66" s="291" t="s">
        <v>275</v>
      </c>
      <c r="O66" s="269" t="s">
        <v>271</v>
      </c>
      <c r="R66"/>
      <c r="S66"/>
      <c r="T66"/>
      <c r="U66"/>
      <c r="V66"/>
    </row>
    <row r="67" spans="5:22" ht="25.05" customHeight="1" x14ac:dyDescent="0.3">
      <c r="E67" s="441"/>
      <c r="F67" s="438"/>
      <c r="G67" s="27" t="s">
        <v>232</v>
      </c>
      <c r="H67" s="37"/>
      <c r="I67" s="248"/>
      <c r="J67" s="371"/>
      <c r="K67" s="372"/>
      <c r="L67" s="372"/>
      <c r="M67" s="373"/>
      <c r="N67" s="373"/>
      <c r="O67" s="374"/>
      <c r="R67"/>
      <c r="S67"/>
      <c r="T67"/>
      <c r="U67"/>
      <c r="V67"/>
    </row>
    <row r="68" spans="5:22" ht="25.05" customHeight="1" thickBot="1" x14ac:dyDescent="0.35">
      <c r="E68" s="441"/>
      <c r="F68" s="439"/>
      <c r="G68" s="333" t="s">
        <v>232</v>
      </c>
      <c r="H68" s="334"/>
      <c r="I68" s="335"/>
      <c r="J68" s="336"/>
      <c r="K68" s="337"/>
      <c r="L68" s="337"/>
      <c r="M68" s="337"/>
      <c r="N68" s="337"/>
      <c r="O68" s="338"/>
      <c r="R68"/>
      <c r="S68"/>
      <c r="T68"/>
      <c r="U68"/>
      <c r="V68"/>
    </row>
    <row r="69" spans="5:22" ht="15" thickTop="1" x14ac:dyDescent="0.3"/>
  </sheetData>
  <sheetProtection algorithmName="SHA-512" hashValue="D+C+sFH6lOHO5Q0yUd1arEu/AYTucykky27uzXE6Dz+Cakx8wMrFTWZs4VN5papIZnqtQ16PL2XflEFNxBChtw==" saltValue="QhPN9qRChtdo8DDTi/nmsA==" spinCount="100000" sheet="1" objects="1" scenarios="1" selectLockedCells="1"/>
  <mergeCells count="23">
    <mergeCell ref="F65:F68"/>
    <mergeCell ref="F17:F20"/>
    <mergeCell ref="E48:E68"/>
    <mergeCell ref="S7:U7"/>
    <mergeCell ref="V7:X7"/>
    <mergeCell ref="E4:E24"/>
    <mergeCell ref="E26:E46"/>
    <mergeCell ref="Y7:AA7"/>
    <mergeCell ref="F57:F60"/>
    <mergeCell ref="F61:F64"/>
    <mergeCell ref="AB7:AD7"/>
    <mergeCell ref="AE7:AG7"/>
    <mergeCell ref="F49:F52"/>
    <mergeCell ref="F53:F56"/>
    <mergeCell ref="F27:F30"/>
    <mergeCell ref="F13:F16"/>
    <mergeCell ref="F9:F12"/>
    <mergeCell ref="F5:F8"/>
    <mergeCell ref="F21:F24"/>
    <mergeCell ref="F35:F38"/>
    <mergeCell ref="F39:F42"/>
    <mergeCell ref="F43:F46"/>
    <mergeCell ref="F31:F34"/>
  </mergeCells>
  <conditionalFormatting sqref="H25">
    <cfRule type="expression" dxfId="35" priority="50">
      <formula>C25="Error"</formula>
    </cfRule>
  </conditionalFormatting>
  <conditionalFormatting sqref="H5:H8">
    <cfRule type="expression" dxfId="34" priority="47">
      <formula>A5="Error"</formula>
    </cfRule>
  </conditionalFormatting>
  <conditionalFormatting sqref="H9:H12">
    <cfRule type="expression" dxfId="33" priority="28">
      <formula>A9="Error"</formula>
    </cfRule>
  </conditionalFormatting>
  <conditionalFormatting sqref="H13:H16">
    <cfRule type="expression" dxfId="32" priority="27">
      <formula>A13="Error"</formula>
    </cfRule>
  </conditionalFormatting>
  <conditionalFormatting sqref="H17:H20">
    <cfRule type="expression" dxfId="31" priority="26">
      <formula>A17="Error"</formula>
    </cfRule>
  </conditionalFormatting>
  <conditionalFormatting sqref="H21:H24">
    <cfRule type="expression" dxfId="30" priority="25">
      <formula>A21="Error"</formula>
    </cfRule>
  </conditionalFormatting>
  <conditionalFormatting sqref="H49:H50 H65 H61:H62 H52:H54 H57:H59">
    <cfRule type="expression" dxfId="29" priority="17">
      <formula>A49="Error"</formula>
    </cfRule>
  </conditionalFormatting>
  <conditionalFormatting sqref="H63">
    <cfRule type="expression" dxfId="28" priority="16">
      <formula>A63="Error"</formula>
    </cfRule>
  </conditionalFormatting>
  <conditionalFormatting sqref="H67">
    <cfRule type="expression" dxfId="27" priority="15">
      <formula>A67="Error"</formula>
    </cfRule>
  </conditionalFormatting>
  <conditionalFormatting sqref="H66">
    <cfRule type="expression" dxfId="26" priority="14">
      <formula>A66="Error"</formula>
    </cfRule>
  </conditionalFormatting>
  <conditionalFormatting sqref="H51">
    <cfRule type="expression" dxfId="25" priority="13">
      <formula>A51="Error"</formula>
    </cfRule>
  </conditionalFormatting>
  <conditionalFormatting sqref="H55">
    <cfRule type="expression" dxfId="24" priority="12">
      <formula>A55="Error"</formula>
    </cfRule>
  </conditionalFormatting>
  <conditionalFormatting sqref="H56">
    <cfRule type="expression" dxfId="23" priority="11">
      <formula>A56="Error"</formula>
    </cfRule>
  </conditionalFormatting>
  <conditionalFormatting sqref="H60">
    <cfRule type="expression" dxfId="22" priority="10">
      <formula>A60="Error"</formula>
    </cfRule>
  </conditionalFormatting>
  <conditionalFormatting sqref="H64">
    <cfRule type="expression" dxfId="21" priority="9">
      <formula>A64="Error"</formula>
    </cfRule>
  </conditionalFormatting>
  <conditionalFormatting sqref="H68">
    <cfRule type="expression" dxfId="20" priority="8">
      <formula>A68="Error"</formula>
    </cfRule>
  </conditionalFormatting>
  <conditionalFormatting sqref="H26:H33 H35:H37 H43:H44 H39:H40">
    <cfRule type="expression" dxfId="19" priority="7">
      <formula>A26="Error"</formula>
    </cfRule>
  </conditionalFormatting>
  <conditionalFormatting sqref="H34">
    <cfRule type="expression" dxfId="18" priority="6">
      <formula>A34="Error"</formula>
    </cfRule>
  </conditionalFormatting>
  <conditionalFormatting sqref="H42">
    <cfRule type="expression" dxfId="17" priority="5">
      <formula>A42="Error"</formula>
    </cfRule>
  </conditionalFormatting>
  <conditionalFormatting sqref="H38">
    <cfRule type="expression" dxfId="16" priority="4">
      <formula>A38="Error"</formula>
    </cfRule>
  </conditionalFormatting>
  <conditionalFormatting sqref="H46">
    <cfRule type="expression" dxfId="15" priority="3">
      <formula>A46="Error"</formula>
    </cfRule>
  </conditionalFormatting>
  <conditionalFormatting sqref="H41">
    <cfRule type="expression" dxfId="14" priority="2">
      <formula>A41="Error"</formula>
    </cfRule>
  </conditionalFormatting>
  <conditionalFormatting sqref="H45">
    <cfRule type="expression" dxfId="13" priority="1">
      <formula>A45="Error"</formula>
    </cfRule>
  </conditionalFormatting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L16"/>
  <sheetViews>
    <sheetView topLeftCell="C2" workbookViewId="0">
      <selection activeCell="D4" sqref="D4"/>
    </sheetView>
  </sheetViews>
  <sheetFormatPr defaultRowHeight="14.4" x14ac:dyDescent="0.3"/>
  <cols>
    <col min="1" max="1" width="14.21875" hidden="1" customWidth="1"/>
    <col min="2" max="2" width="4" hidden="1" customWidth="1"/>
    <col min="3" max="3" width="3.77734375" customWidth="1"/>
    <col min="4" max="4" width="25.109375" customWidth="1"/>
    <col min="5" max="5" width="19.5546875" customWidth="1"/>
    <col min="6" max="8" width="14.5546875" customWidth="1"/>
    <col min="12" max="12" width="11.77734375" customWidth="1"/>
  </cols>
  <sheetData>
    <row r="1" spans="1:12" hidden="1" x14ac:dyDescent="0.3">
      <c r="A1">
        <v>1</v>
      </c>
      <c r="B1">
        <f t="shared" ref="B1:H1" si="0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</row>
    <row r="2" spans="1:12" s="15" customFormat="1" ht="6.75" customHeight="1" x14ac:dyDescent="0.45">
      <c r="D2" s="16"/>
    </row>
    <row r="3" spans="1:12" s="227" customFormat="1" ht="19.5" customHeight="1" x14ac:dyDescent="0.3">
      <c r="A3" s="226"/>
      <c r="B3" s="178"/>
      <c r="D3" s="178" t="s">
        <v>370</v>
      </c>
    </row>
    <row r="4" spans="1:12" ht="19.5" customHeight="1" thickBot="1" x14ac:dyDescent="0.35"/>
    <row r="5" spans="1:12" ht="15.6" thickTop="1" thickBot="1" x14ac:dyDescent="0.35">
      <c r="L5" s="262" t="s">
        <v>233</v>
      </c>
    </row>
    <row r="6" spans="1:12" ht="15.6" thickTop="1" thickBot="1" x14ac:dyDescent="0.35">
      <c r="D6" s="232"/>
      <c r="E6" s="232" t="s">
        <v>187</v>
      </c>
      <c r="F6" s="232" t="s">
        <v>188</v>
      </c>
      <c r="G6" s="232" t="s">
        <v>7</v>
      </c>
      <c r="H6" s="232" t="s">
        <v>189</v>
      </c>
      <c r="I6" s="233" t="s">
        <v>190</v>
      </c>
      <c r="J6" s="234"/>
      <c r="L6" s="262" t="s">
        <v>235</v>
      </c>
    </row>
    <row r="7" spans="1:12" ht="15.6" thickTop="1" thickBot="1" x14ac:dyDescent="0.35">
      <c r="D7" s="232" t="s">
        <v>191</v>
      </c>
      <c r="E7" s="232" t="s">
        <v>2</v>
      </c>
      <c r="F7" s="232" t="s">
        <v>3</v>
      </c>
      <c r="G7" s="232" t="s">
        <v>4</v>
      </c>
      <c r="H7" s="232" t="s">
        <v>4</v>
      </c>
      <c r="I7" s="233" t="s">
        <v>4</v>
      </c>
      <c r="J7" s="234"/>
      <c r="L7" s="262" t="s">
        <v>234</v>
      </c>
    </row>
    <row r="8" spans="1:12" ht="15.6" thickTop="1" thickBot="1" x14ac:dyDescent="0.35">
      <c r="D8" s="235" t="s">
        <v>292</v>
      </c>
      <c r="E8" s="232" t="s">
        <v>3</v>
      </c>
      <c r="F8" s="232" t="s">
        <v>3</v>
      </c>
      <c r="G8" s="232" t="s">
        <v>4</v>
      </c>
      <c r="H8" s="232" t="s">
        <v>4</v>
      </c>
      <c r="I8" s="233" t="s">
        <v>4</v>
      </c>
      <c r="J8" s="234"/>
      <c r="L8" s="262" t="s">
        <v>236</v>
      </c>
    </row>
    <row r="9" spans="1:12" ht="15" thickTop="1" x14ac:dyDescent="0.3">
      <c r="D9" s="235" t="s">
        <v>293</v>
      </c>
      <c r="E9" s="232" t="s">
        <v>3</v>
      </c>
      <c r="F9" s="232" t="s">
        <v>2</v>
      </c>
      <c r="G9" s="232" t="s">
        <v>4</v>
      </c>
      <c r="H9" s="232" t="s">
        <v>175</v>
      </c>
      <c r="I9" s="233" t="s">
        <v>5</v>
      </c>
      <c r="J9" s="234"/>
      <c r="L9" s="323"/>
    </row>
    <row r="10" spans="1:12" x14ac:dyDescent="0.3">
      <c r="D10" s="235" t="s">
        <v>296</v>
      </c>
      <c r="E10" s="232" t="s">
        <v>5</v>
      </c>
      <c r="F10" s="232" t="s">
        <v>4</v>
      </c>
      <c r="G10" s="232" t="s">
        <v>2</v>
      </c>
      <c r="H10" s="232" t="s">
        <v>4</v>
      </c>
      <c r="I10" s="233" t="s">
        <v>4</v>
      </c>
      <c r="J10" s="234"/>
      <c r="L10" s="323"/>
    </row>
    <row r="11" spans="1:12" x14ac:dyDescent="0.3">
      <c r="D11" s="235" t="s">
        <v>297</v>
      </c>
      <c r="E11" s="232" t="s">
        <v>3</v>
      </c>
      <c r="F11" s="232" t="s">
        <v>3</v>
      </c>
      <c r="G11" s="232" t="s">
        <v>4</v>
      </c>
      <c r="H11" s="232" t="s">
        <v>4</v>
      </c>
      <c r="I11" s="233" t="s">
        <v>4</v>
      </c>
      <c r="J11" s="234"/>
    </row>
    <row r="12" spans="1:12" x14ac:dyDescent="0.3">
      <c r="D12" s="235" t="s">
        <v>298</v>
      </c>
      <c r="E12" s="232" t="s">
        <v>4</v>
      </c>
      <c r="F12" s="232" t="s">
        <v>2</v>
      </c>
      <c r="G12" s="232" t="s">
        <v>4</v>
      </c>
      <c r="H12" s="232" t="s">
        <v>175</v>
      </c>
      <c r="I12" s="233" t="s">
        <v>5</v>
      </c>
      <c r="J12" s="234"/>
    </row>
    <row r="13" spans="1:12" x14ac:dyDescent="0.3">
      <c r="D13" s="235" t="s">
        <v>294</v>
      </c>
      <c r="E13" s="232" t="s">
        <v>5</v>
      </c>
      <c r="F13" s="232" t="s">
        <v>4</v>
      </c>
      <c r="G13" s="232" t="s">
        <v>4</v>
      </c>
      <c r="H13" s="232" t="s">
        <v>2</v>
      </c>
      <c r="I13" s="233" t="s">
        <v>4</v>
      </c>
      <c r="J13" s="234"/>
    </row>
    <row r="14" spans="1:12" x14ac:dyDescent="0.3">
      <c r="D14" s="235" t="s">
        <v>295</v>
      </c>
      <c r="E14" s="232" t="s">
        <v>4</v>
      </c>
      <c r="F14" s="232" t="s">
        <v>4</v>
      </c>
      <c r="G14" s="232" t="s">
        <v>4</v>
      </c>
      <c r="H14" s="232" t="s">
        <v>2</v>
      </c>
      <c r="I14" s="233" t="s">
        <v>5</v>
      </c>
      <c r="J14" s="234"/>
    </row>
    <row r="15" spans="1:12" x14ac:dyDescent="0.3">
      <c r="D15" s="235" t="s">
        <v>194</v>
      </c>
      <c r="E15" s="232" t="s">
        <v>5</v>
      </c>
      <c r="F15" s="232" t="s">
        <v>5</v>
      </c>
      <c r="G15" s="232" t="s">
        <v>175</v>
      </c>
      <c r="H15" s="232" t="s">
        <v>4</v>
      </c>
      <c r="I15" s="233" t="s">
        <v>4</v>
      </c>
      <c r="J15" s="234"/>
    </row>
    <row r="16" spans="1:12" x14ac:dyDescent="0.3">
      <c r="D16" s="236"/>
    </row>
  </sheetData>
  <sheetProtection algorithmName="SHA-512" hashValue="Tjbg/tdoDt8Qmot2SPvFxycjdwtXthpJawL8AXdO6uJlV9Sfz4QNpbce0c170yby207Pelor4n3zVso7XaIHvQ==" saltValue="TFlxy/i9gBygRfdgROdwPQ==" spinCount="100000" sheet="1" objects="1" scenarios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B21" sqref="B21"/>
    </sheetView>
  </sheetViews>
  <sheetFormatPr defaultRowHeight="14.4" x14ac:dyDescent="0.3"/>
  <cols>
    <col min="1" max="1" width="10.77734375" bestFit="1" customWidth="1"/>
    <col min="2" max="2" width="160.6640625" bestFit="1" customWidth="1"/>
  </cols>
  <sheetData>
    <row r="2" spans="1:7" x14ac:dyDescent="0.3">
      <c r="B2" t="s">
        <v>186</v>
      </c>
    </row>
    <row r="3" spans="1:7" x14ac:dyDescent="0.3">
      <c r="B3">
        <v>1</v>
      </c>
      <c r="C3" t="s">
        <v>20</v>
      </c>
      <c r="D3" t="s">
        <v>21</v>
      </c>
    </row>
    <row r="5" spans="1:7" ht="30" customHeight="1" x14ac:dyDescent="0.3">
      <c r="A5" s="445" t="s">
        <v>140</v>
      </c>
      <c r="B5" s="232" t="s">
        <v>240</v>
      </c>
    </row>
    <row r="6" spans="1:7" ht="30" customHeight="1" x14ac:dyDescent="0.3">
      <c r="A6" s="445"/>
      <c r="B6" s="232" t="s">
        <v>241</v>
      </c>
    </row>
    <row r="7" spans="1:7" ht="30" customHeight="1" x14ac:dyDescent="0.3">
      <c r="A7" s="446" t="s">
        <v>245</v>
      </c>
      <c r="B7" s="232" t="s">
        <v>267</v>
      </c>
    </row>
    <row r="8" spans="1:7" ht="30" customHeight="1" x14ac:dyDescent="0.3">
      <c r="A8" s="447"/>
      <c r="B8" s="232" t="s">
        <v>242</v>
      </c>
    </row>
    <row r="9" spans="1:7" ht="30" customHeight="1" x14ac:dyDescent="0.3">
      <c r="A9" s="447"/>
      <c r="B9" s="232" t="s">
        <v>243</v>
      </c>
    </row>
    <row r="10" spans="1:7" ht="30" customHeight="1" thickBot="1" x14ac:dyDescent="0.35">
      <c r="A10" s="447"/>
      <c r="B10" s="232" t="s">
        <v>244</v>
      </c>
    </row>
    <row r="11" spans="1:7" ht="24.45" customHeight="1" thickTop="1" thickBot="1" x14ac:dyDescent="0.35">
      <c r="A11" s="447"/>
      <c r="B11" s="232" t="s">
        <v>285</v>
      </c>
      <c r="C11" s="232"/>
      <c r="D11" s="232"/>
      <c r="E11" s="232"/>
      <c r="F11" s="232"/>
      <c r="G11" s="302" t="s">
        <v>20</v>
      </c>
    </row>
    <row r="12" spans="1:7" ht="15" thickTop="1" x14ac:dyDescent="0.3"/>
  </sheetData>
  <sheetProtection selectLockedCells="1"/>
  <mergeCells count="2">
    <mergeCell ref="A5:A6"/>
    <mergeCell ref="A7:A11"/>
  </mergeCells>
  <conditionalFormatting sqref="G11">
    <cfRule type="expression" dxfId="12" priority="3">
      <formula>$A$18="-"</formula>
    </cfRule>
  </conditionalFormatting>
  <conditionalFormatting sqref="G11">
    <cfRule type="expression" dxfId="11" priority="2">
      <formula>$B$7=""</formula>
    </cfRule>
  </conditionalFormatting>
  <conditionalFormatting sqref="G11">
    <cfRule type="expression" dxfId="10" priority="10">
      <formula>OR(AND(D$9&lt;&gt;"None",D$10=""),AND(D$11&lt;&gt;"None",D$12=""))</formula>
    </cfRule>
  </conditionalFormatting>
  <dataValidations count="1">
    <dataValidation type="list" allowBlank="1" showInputMessage="1" showErrorMessage="1" sqref="G11">
      <formula1>IF($A$18="-",$E$3:$E$7,$C$3:$D$3)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Ver1</vt:lpstr>
      <vt:lpstr>Sheet1 (2)</vt:lpstr>
      <vt:lpstr>Analysis Tool</vt:lpstr>
      <vt:lpstr>Unsignalized Inter</vt:lpstr>
      <vt:lpstr>Segment</vt:lpstr>
      <vt:lpstr>Inter 2</vt:lpstr>
      <vt:lpstr>Grades</vt:lpstr>
      <vt:lpstr>Targets</vt:lpstr>
      <vt:lpstr>AT Check</vt:lpstr>
      <vt:lpstr>Cyclists Intersection Env</vt:lpstr>
      <vt:lpstr>Cyclists Segment Space</vt:lpstr>
      <vt:lpstr>Cyclists Segment Environment</vt:lpstr>
      <vt:lpstr>Controls</vt:lpstr>
      <vt:lpstr>Grade_Values</vt:lpstr>
      <vt:lpstr>Grades!Print_Area</vt:lpstr>
      <vt:lpstr>Weights_Intersection</vt:lpstr>
      <vt:lpstr>Weights_Segment</vt:lpstr>
    </vt:vector>
  </TitlesOfParts>
  <Manager>ProjectWise system account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 MMLOS - Analysis Tool .xlsx</dc:title>
  <dc:creator>Lanigan, Adam</dc:creator>
  <cp:lastModifiedBy>Ominski, Auja</cp:lastModifiedBy>
  <cp:lastPrinted>2018-04-27T16:47:18Z</cp:lastPrinted>
  <dcterms:created xsi:type="dcterms:W3CDTF">2018-02-23T01:11:00Z</dcterms:created>
  <dcterms:modified xsi:type="dcterms:W3CDTF">2022-01-21T20:19:10Z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>55866</vt:lpwstr>
  </property>
  <property fmtid="{D5CDD505-2E9C-101B-9397-08002B2CF9AE}" pid="3" name="Folder_Code">
    <vt:lpwstr>203587</vt:lpwstr>
  </property>
  <property fmtid="{D5CDD505-2E9C-101B-9397-08002B2CF9AE}" pid="4" name="Folder_Name">
    <vt:lpwstr>Analysis &amp; Design</vt:lpwstr>
  </property>
  <property fmtid="{D5CDD505-2E9C-101B-9397-08002B2CF9AE}" pid="5" name="Folder_Description">
    <vt:lpwstr/>
  </property>
  <property fmtid="{D5CDD505-2E9C-101B-9397-08002B2CF9AE}" pid="6" name="/Folder_Name/">
    <vt:lpwstr>Projects/203587 OTC MMLOS Guidelines/2. Work/Analysis &amp; Design</vt:lpwstr>
  </property>
  <property fmtid="{D5CDD505-2E9C-101B-9397-08002B2CF9AE}" pid="7" name="/Folder_Description/">
    <vt:lpwstr>/203587 OTC MMLOS Guidelines</vt:lpwstr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>pwsystem</vt:lpwstr>
  </property>
  <property fmtid="{D5CDD505-2E9C-101B-9397-08002B2CF9AE}" pid="11" name="Folder_ManagerDesc">
    <vt:lpwstr>ProjectWise system account</vt:lpwstr>
  </property>
  <property fmtid="{D5CDD505-2E9C-101B-9397-08002B2CF9AE}" pid="12" name="Folder_Storage">
    <vt:lpwstr>Projects 2020</vt:lpwstr>
  </property>
  <property fmtid="{D5CDD505-2E9C-101B-9397-08002B2CF9AE}" pid="13" name="Folder_StorageDesc">
    <vt:lpwstr>Projects 2020</vt:lpwstr>
  </property>
  <property fmtid="{D5CDD505-2E9C-101B-9397-08002B2CF9AE}" pid="14" name="Folder_Creator">
    <vt:lpwstr>pwsystem</vt:lpwstr>
  </property>
  <property fmtid="{D5CDD505-2E9C-101B-9397-08002B2CF9AE}" pid="15" name="Folder_CreatorDesc">
    <vt:lpwstr>ProjectWise system account</vt:lpwstr>
  </property>
  <property fmtid="{D5CDD505-2E9C-101B-9397-08002B2CF9AE}" pid="16" name="Folder_CreateDate">
    <vt:lpwstr>10.13.2020 08:37 AM</vt:lpwstr>
  </property>
  <property fmtid="{D5CDD505-2E9C-101B-9397-08002B2CF9AE}" pid="17" name="Folder_Updater">
    <vt:lpwstr>pwsystem</vt:lpwstr>
  </property>
  <property fmtid="{D5CDD505-2E9C-101B-9397-08002B2CF9AE}" pid="18" name="Folder_UpdaterDesc">
    <vt:lpwstr>ProjectWise system account</vt:lpwstr>
  </property>
  <property fmtid="{D5CDD505-2E9C-101B-9397-08002B2CF9AE}" pid="19" name="Folder_UpdateDate">
    <vt:lpwstr>10.13.2020 08:37 AM</vt:lpwstr>
  </property>
  <property fmtid="{D5CDD505-2E9C-101B-9397-08002B2CF9AE}" pid="20" name="Document_Number">
    <vt:lpwstr>1</vt:lpwstr>
  </property>
  <property fmtid="{D5CDD505-2E9C-101B-9397-08002B2CF9AE}" pid="21" name="Document_Name">
    <vt:lpwstr>OTC MMLOS - Analysis Tool .xlsx</vt:lpwstr>
  </property>
  <property fmtid="{D5CDD505-2E9C-101B-9397-08002B2CF9AE}" pid="22" name="Document_FileName">
    <vt:lpwstr>OTC MMLOS - Analysis Tool .xlsx</vt:lpwstr>
  </property>
  <property fmtid="{D5CDD505-2E9C-101B-9397-08002B2CF9AE}" pid="23" name="Document_Version">
    <vt:lpwstr>A</vt:lpwstr>
  </property>
  <property fmtid="{D5CDD505-2E9C-101B-9397-08002B2CF9AE}" pid="24" name="Document_VersionSeq">
    <vt:lpwstr>0</vt:lpwstr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